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230" windowWidth="15530" windowHeight="10380" tabRatio="190" activeTab="0"/>
  </bookViews>
  <sheets>
    <sheet name="дод. 11" sheetId="1" r:id="rId1"/>
  </sheets>
  <definedNames>
    <definedName name="_xlfn.AGGREGATE" hidden="1">#NAME?</definedName>
    <definedName name="_xlnm.Print_Titles" localSheetId="0">'дод. 11'!$5:$5</definedName>
  </definedNames>
  <calcPr fullCalcOnLoad="1"/>
</workbook>
</file>

<file path=xl/sharedStrings.xml><?xml version="1.0" encoding="utf-8"?>
<sst xmlns="http://schemas.openxmlformats.org/spreadsheetml/2006/main" count="216" uniqueCount="216">
  <si>
    <t>1.9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</si>
  <si>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</si>
  <si>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</si>
  <si>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</si>
  <si>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придбання та встановлення кашпо, лавок з урнами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</si>
  <si>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</si>
  <si>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</si>
  <si>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</si>
  <si>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 xml:space="preserve"> утримання  міських кладовищ (фінансова підтримка КП "Комбінат комунальних підприємств")</t>
  </si>
  <si>
    <t>поховання та транспортування до моргу на судмедекспертизу  одиноких померлих та безрідних громадян(фінансова підтримка КП "Комбінат комунальних підприємств")</t>
  </si>
  <si>
    <t xml:space="preserve">утримання зелених зон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</si>
  <si>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</si>
  <si>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</si>
  <si>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поточний ремонт Берегоукріплення житлового мікрорайону «Митниця-1 черга» м. Черкаси (фінансова підтримка КП "Дирекція парків")</t>
  </si>
  <si>
    <t>утримання та лікування безпритульних тварин , що знаходяться у комунальних притулках(харчування, лікування, прибирання) (фінансова підтримка КП "Черкаська служба чистоти")</t>
  </si>
  <si>
    <t>послуги зі стерилізації безпритульних тварин (фінансова підтримка КП "Черкаська служба чистоти")</t>
  </si>
  <si>
    <t>№ п/п</t>
  </si>
  <si>
    <t>НАПРЯМКИ ВИДАТКІВ</t>
  </si>
  <si>
    <t>Організація роботи інженерного облаштування вуличнно-дорожньої мережі, в т.ч.:</t>
  </si>
  <si>
    <t>1.6</t>
  </si>
  <si>
    <t>1.7</t>
  </si>
  <si>
    <t>Утримання та розвиток парків та скверів міста, в т.ч.:</t>
  </si>
  <si>
    <t>1.12</t>
  </si>
  <si>
    <t>Організація благоустрою населених пунктів</t>
  </si>
  <si>
    <t>ВИДАТКИ НА ЖИТЛОВО-КОМУНАЛЬНЕ ГОСПОДАРСТВО ЗА РАХУНОК КОШТІВ МІСЬКОГО БЮДЖЕТУ У 2018 РОЦІ</t>
  </si>
  <si>
    <t>Дослідження питної води з нецентралізованих джерел водопостачання</t>
  </si>
  <si>
    <t>1.10</t>
  </si>
  <si>
    <t>3.</t>
  </si>
  <si>
    <t>1.</t>
  </si>
  <si>
    <t>Інша діяльність у сфері житлово-комунального господарства</t>
  </si>
  <si>
    <t>нагляд за станом електромереж та устаткування (фінансова підтримка КП "Міськсвітло")</t>
  </si>
  <si>
    <t>на утримання зелених насаджень та зелених зон, прибирання доріжок та алей, утримання та оновлення майна парків та скверів (фінансова підтрнимка КП "Дирекція парків")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</si>
  <si>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</si>
  <si>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</si>
  <si>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</si>
  <si>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 xml:space="preserve"> обслуговування водяних завіс</t>
  </si>
  <si>
    <t>Разом видатків на поточний рік, грн.</t>
  </si>
  <si>
    <t xml:space="preserve">оплата електроенергїї світлофорних об'єктів </t>
  </si>
  <si>
    <t>комплексне косіння зелених зон</t>
  </si>
  <si>
    <t>утримання газонів на бульварі Шевченка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</si>
  <si>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</si>
  <si>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</si>
  <si>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</si>
  <si>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послуги пульта управління зовнішнім освітленням міста (фінансова підтримка КП "Міськсвітло")</t>
  </si>
  <si>
    <t>1.4</t>
  </si>
  <si>
    <t>1.5</t>
  </si>
  <si>
    <t>1.8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</si>
  <si>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</si>
  <si>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</si>
  <si>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ВСЬОГО ВИДАТКІВ</t>
  </si>
  <si>
    <t>1.2</t>
  </si>
  <si>
    <t>1.3</t>
  </si>
  <si>
    <t>1.11</t>
  </si>
  <si>
    <t xml:space="preserve"> Заходи пов’язані  з поліпшенням питної води 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</si>
  <si>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</si>
  <si>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</si>
  <si>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</si>
  <si>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</si>
  <si>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</si>
  <si>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</si>
  <si>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</si>
  <si>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</si>
  <si>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</si>
  <si>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</si>
  <si>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</si>
  <si>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поточний ремонт мереж зовнішнього освітлення міста</t>
  </si>
  <si>
    <t xml:space="preserve">Загальний фонд </t>
  </si>
  <si>
    <t xml:space="preserve">Спеціальний фонд </t>
  </si>
  <si>
    <t>Капітальний ремонт прибудинкової території житлових будинків по вул. Митницькій, 17, 17/1та по вул. Гоголя, 315</t>
  </si>
  <si>
    <t>Капітальний ремонт прибудинкової території  житлових будинків по вул. Пилипенка 10, 12 та вул. Пастерівська, 106</t>
  </si>
  <si>
    <t>Капітальний ремонт прибудинкової території  житлового будинку по вул. Сумгаїтська, 59</t>
  </si>
  <si>
    <t>Капітальний ремонт прибудинкової території житлового будинку по вул. В.Чорновола 122/41</t>
  </si>
  <si>
    <t>Капітальний ремонт прибудинкової території житлових будинків   по бул. Шевченка, 264 та по вул. Небесної Сотні, 41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</si>
  <si>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</si>
  <si>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по вул. Благовісна, 180 (покрівля)</t>
  </si>
  <si>
    <t>Капітальний ремонт житлового будинку по бульв. Шевченка, 276 (аварійні балкони)</t>
  </si>
  <si>
    <t>Капітальний ремонт житлового будинку по вул. Пилипенка, 12 (встановлення ІТП)</t>
  </si>
  <si>
    <t>Капітальний ремонт прибудинкової території житлового будинку № 350 по вул.Гоголя в м.Черкаси</t>
  </si>
  <si>
    <t>Капітальний ремонт житлового будинку №37 по вул. Сумгаїтській (заміна вікон)</t>
  </si>
  <si>
    <t>Капітальний ремонт прибудинкової території (дитячий майданчик) за адресою: вул. Ярославська, 32</t>
  </si>
  <si>
    <t>Капітальний ремонт прибудинкової території (дитячий майданчик) за адресою:  вул. Небесна Сотня, 45</t>
  </si>
  <si>
    <t>Капітальний ремонт житлового будинку по вул. Різдвяна, 56 (ремонт покрівлі та перекриття другого поверху)</t>
  </si>
  <si>
    <t>Капітальний ремонт ганків до під'їздів № 1-8 житлового будинку по вул.Гуржіївській, 30</t>
  </si>
  <si>
    <t>Капітальний ремонт житлового будинку №103 по вул. Нижня Горова (інженерні мережі)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</si>
  <si>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</si>
  <si>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прийнятих в комунальну власність безгосподарських мереж теплопостачання та гарячого водопостачання</t>
  </si>
  <si>
    <t>Експлуатаційне та технічне обслуговування житлового фонду</t>
  </si>
  <si>
    <t xml:space="preserve">2. 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</si>
  <si>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</si>
  <si>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</si>
  <si>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</si>
  <si>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</si>
  <si>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</si>
  <si>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</si>
  <si>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</si>
  <si>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</si>
  <si>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</si>
  <si>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</si>
  <si>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</si>
  <si>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</si>
  <si>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</si>
  <si>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</si>
  <si>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</si>
  <si>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</si>
  <si>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</si>
  <si>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</si>
  <si>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</si>
  <si>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</si>
  <si>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</si>
  <si>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</si>
  <si>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2.1</t>
  </si>
  <si>
    <t>4.</t>
  </si>
  <si>
    <t>5.</t>
  </si>
  <si>
    <t>6.</t>
  </si>
  <si>
    <t>придбання контейнерів для сміття місткістю 1,1 куб.м.</t>
  </si>
  <si>
    <t xml:space="preserve">капітальний ремонт скверу "Весна" </t>
  </si>
  <si>
    <t>6.1</t>
  </si>
  <si>
    <t>6.2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</si>
  <si>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</si>
  <si>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</si>
  <si>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</si>
  <si>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</si>
  <si>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</si>
  <si>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</si>
  <si>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</si>
  <si>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</si>
  <si>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</si>
  <si>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</si>
  <si>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</si>
  <si>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</si>
  <si>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5.1</t>
  </si>
  <si>
    <t>Забезпечення надійної та безперебійної експлуатації ліфтів</t>
  </si>
  <si>
    <t>Інша діяльність , пов'язана з експлуатацією об'єктів житлово-комунального господарства</t>
  </si>
  <si>
    <t>виготовлення та затвердження Схеми санітарного очищення</t>
  </si>
  <si>
    <t xml:space="preserve">                                                         бюджет розвитку</t>
  </si>
  <si>
    <t xml:space="preserve">із них </t>
  </si>
  <si>
    <t>Капітальний ремонт житлового будинку №39 по вул. Сумгаїтській (заміна вікон)</t>
  </si>
  <si>
    <t>поточний ремонт мереж зовнішнього освітлення міста (фінансова підтримка КП "Міськсвітло")</t>
  </si>
  <si>
    <t>4.13</t>
  </si>
  <si>
    <t>Розробка Схеми теплопостачання міста Черкаси</t>
  </si>
  <si>
    <t>Капітальний ремонт житлового будинку № 105 по вул. Нижня Горова (інженерні мережі)</t>
  </si>
  <si>
    <t>Капітальний ремонт житлового будинку № 164 по вул. Нижня Горова (інженерні мережі)</t>
  </si>
  <si>
    <t>Капітальний ремонт житлового будинку № 76 по вул. Толстого (заміна вікон)</t>
  </si>
  <si>
    <t xml:space="preserve">Капітальний ремонт житлового будинку № 43 по вул. Різдвяна (заміна вікон) </t>
  </si>
  <si>
    <t xml:space="preserve">Капітальний ремонт житлового будинку № 43/1 по вул. Різдвяна (заміна вікон) </t>
  </si>
  <si>
    <t xml:space="preserve">Капітальний ремонт житлового будинку № 50 по вул. Толстого (інженерні мережі) </t>
  </si>
  <si>
    <t xml:space="preserve">Капітальний ремонт житлового будинку № 76 по вул. Толстого (інженерні мережі) </t>
  </si>
  <si>
    <t xml:space="preserve">Капітальний ремонт житлового будинку № 78 по вул. Толстого (інженерні мережі) </t>
  </si>
  <si>
    <t xml:space="preserve">Капітальний ремонт житлового будинку № 115 по вул. Нижня Горова (заміна вікон) </t>
  </si>
  <si>
    <t xml:space="preserve">Капітальний ремонт житлового будинку № 9а по вул. Чехова (заміна вікон) 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</si>
  <si>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</si>
  <si>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</si>
  <si>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</si>
  <si>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</si>
  <si>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</si>
  <si>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</si>
  <si>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</si>
  <si>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</si>
  <si>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</si>
  <si>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</si>
  <si>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</si>
  <si>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</si>
  <si>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</si>
  <si>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послуги аудиту (фінансова підтримка КП "Дирекція парків")</t>
  </si>
  <si>
    <t>Капітальний ремонт житлового будинку по вул. С. Жужоми, 6 в м. Черкаси (покрівля)</t>
  </si>
  <si>
    <t>1.48</t>
  </si>
  <si>
    <t>Капітальний ремонт прибудинкової території будинку № 96 по вул.М.Залізняка</t>
  </si>
  <si>
    <t>Капітальний ремонт прибудинкової території будинку № 96/1 по вул.М.Залізняка</t>
  </si>
  <si>
    <t>Організація місць відпочинку на комунальних пляжах міста, в т.ч.:</t>
  </si>
  <si>
    <t>Обслуговування водяних завіс, в т.ч.:</t>
  </si>
  <si>
    <t>Утримання питних фонтанчиків, в т.ч.:</t>
  </si>
  <si>
    <t>Капітальний ремонт житлового будинку №69 по вул. Героїв Дніпра (заміна вікон та дверей)</t>
  </si>
  <si>
    <t>% виконання</t>
  </si>
  <si>
    <t xml:space="preserve">Придбання комунальної техніки в лізінг відповідно до Порядку, затвердженого КМУ (5 самоскидів зі щітками, фреза дорожня, каток дорожній, підмітально-прибиральна машина, 6 мікроавтобусів вантажо-пасажирських, 9 сміттєвозів, 2 грейферних погрузчика)
</t>
  </si>
  <si>
    <t>Капітальний ремонт житлового будинку №2 по вул. Сержанта Смірнова  (заміна вікон та дверей)</t>
  </si>
  <si>
    <t>ремонт міських кладовищ до Поминальних днів (фінансова підтримка КП "Комбінат комунальних підприємств")</t>
  </si>
  <si>
    <t>відведення земельної ділянки орієнтовною площею 4,00 га в постійне користування по вул. Промисловій під будівництво кладовища</t>
  </si>
  <si>
    <t>Придбання та встановлення елементів для дитячого майданчика на прибудинкових територіях біля будинків за адресою: вул.Благовісна, 180 та 180/1</t>
  </si>
  <si>
    <t>Капітальний ремонт прибудинкової території (дитячий майданчик) за адресою: вул. Небесної Сотні 45</t>
  </si>
  <si>
    <t xml:space="preserve">Капітальний ремонт прибудинкової території (дитячий спортивний майданчик) житлового будинку № 29 по вул. Г. Дніпра, м. Черкаси </t>
  </si>
  <si>
    <t>Капітальний ремонт житлового будинку №143/4 по вул. Нижня Горова (утеплення)</t>
  </si>
  <si>
    <t xml:space="preserve">Капітальний ремонт житлового будинку №115 по вул. Нижня горова (інженерні мережі) 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</si>
  <si>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</si>
  <si>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</si>
  <si>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№115 по вул. Нижня Горова (покрівля)</t>
  </si>
  <si>
    <t xml:space="preserve">Капітальний ремонт житлового будинку №105 по вул. Нижня Горова (покрівля) </t>
  </si>
  <si>
    <t>Капітальний ремонт житлового будинку №103 по вул. Нижня горова (покрівля)</t>
  </si>
  <si>
    <t>Капітальний ремонт прибудинкової території (дитячий майданчик) за адресою: вул. Ярославська, 24</t>
  </si>
  <si>
    <t xml:space="preserve">Капітальний ремонт житлового будинку №57 по вул. Різдвяна (заміна вікон) </t>
  </si>
  <si>
    <t>Капітальний ремонт житлового будинку №57 по вул. Різдвяна (покрівля)</t>
  </si>
  <si>
    <t>Капітальний ремонт житлового будинку №57 по вул. Різдвяна (інженерні мережі)</t>
  </si>
  <si>
    <t>Капітальний ремонт житлового будинку №57/1 по вул. Різдвяна (інженерні мережі)</t>
  </si>
  <si>
    <t>Капітальний ремонт житлового будинку №43 по вул. Різдвяна (інженерні мережі)</t>
  </si>
  <si>
    <t xml:space="preserve">Капітальний ремонт житлового будинку №57/1 по вул. Різдвяна (заміна вікон) </t>
  </si>
  <si>
    <t>Капітальний ремонт житлового будинку №43/1 по вул. Різдвяна (покрівля)</t>
  </si>
  <si>
    <t xml:space="preserve">Капітальний ремонт житлового будинку №43 по вул. Різдвяна (покрівля) </t>
  </si>
  <si>
    <t>Капітальний ремонт житлового будинку № 168 по вул. Нижня Горова (інженерні мережі)</t>
  </si>
  <si>
    <t>Капітальний ремонт житлового будинку № 6 по вул. Юрія Іллєнка (заміна вікон)</t>
  </si>
  <si>
    <t>Капітальний ремонт житлового будинку №50 по вул. Толстого (покрівля)</t>
  </si>
  <si>
    <t>1.49</t>
  </si>
  <si>
    <t>Капітальний ремонт житлового будинку №50 по вул. Толстого (заміна вікон)</t>
  </si>
  <si>
    <t>1.50</t>
  </si>
  <si>
    <t>1.51</t>
  </si>
  <si>
    <t>1.52</t>
  </si>
  <si>
    <t>Капітальний ремонт житлового будинку №78 по вул. Толстого (заміна вікон)</t>
  </si>
  <si>
    <t>1.53</t>
  </si>
  <si>
    <t>1.54</t>
  </si>
  <si>
    <t>1.55</t>
  </si>
  <si>
    <t>Капітальний ремонт житлового будинку №9а по вул. Чехова (інженерні мережі)</t>
  </si>
  <si>
    <t>1.56</t>
  </si>
  <si>
    <t>Капітальний ремонт житлового будинку № 3 по вул. Максима Залізняка (покрівля)</t>
  </si>
  <si>
    <t>1.57</t>
  </si>
  <si>
    <t>1.58</t>
  </si>
  <si>
    <t>1.59</t>
  </si>
  <si>
    <t>Надання співфінансування ОСББ  на виконання капітальних ремонтів:                                                                                                         -енергозберігаючі заходи;                                                                                             -інші види робіт (покрівлі, інженерні мережі і т.п.)</t>
  </si>
  <si>
    <t>Профінансовано станом на 10.07.2018 року, грн.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</si>
</sst>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_-* #,##0.00&quot;р.&quot;_-;\-* #,##0.00&quot;р.&quot;_-;_-* \-??&quot;р.&quot;_-;_-@_-"/>
    <numFmt numFmtId="214" formatCode="_-* #,##0.00\ _р_._-;\-* #,##0.00\ _р_._-;_-* &quot;-&quot;??\ _р_._-;_-@_-"/>
    <numFmt numFmtId="215" formatCode="_-* #,##0.00_р_._-;\-* #,##0.00_р_._-;_-* \-??_р_._-;_-@_-"/>
    <numFmt numFmtId="216" formatCode="#,##0.00\ _₽"/>
    <numFmt numFmtId="217" formatCode="#,##0.00\ &quot;₽&quot;"/>
    <numFmt numFmtId="218" formatCode="#,##0.00\ &quot;₽&quot;;[Red]#,##0.00\ &quot;₽&quot;"/>
    <numFmt numFmtId="219" formatCode="#,##0.00\ _₽;[Red]#,##0.00\ _₽"/>
  </numFmts>
  <fonts count="6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2"/>
      <name val="UkrainianPragmatica"/>
      <family val="0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2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23" fillId="0" borderId="0">
      <alignment/>
      <protection/>
    </xf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44" borderId="1" applyNumberFormat="0" applyAlignment="0" applyProtection="0"/>
    <xf numFmtId="0" fontId="8" fillId="44" borderId="1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2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213" fontId="15" fillId="0" borderId="0" applyFill="0" applyBorder="0" applyAlignment="0" applyProtection="0"/>
    <xf numFmtId="213" fontId="15" fillId="0" borderId="0" applyFill="0" applyBorder="0" applyAlignment="0" applyProtection="0"/>
    <xf numFmtId="170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51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52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36" fillId="0" borderId="0">
      <alignment vertical="top"/>
      <protection/>
    </xf>
    <xf numFmtId="0" fontId="19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54" fillId="47" borderId="1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49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55" fillId="0" borderId="13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6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0" fillId="50" borderId="15" applyNumberFormat="0" applyFont="0" applyAlignment="0" applyProtection="0"/>
    <xf numFmtId="184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57" fillId="47" borderId="16" applyNumberFormat="0" applyAlignment="0" applyProtection="0"/>
    <xf numFmtId="0" fontId="19" fillId="0" borderId="9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58" fillId="51" borderId="0" applyNumberFormat="0" applyBorder="0" applyAlignment="0" applyProtection="0"/>
    <xf numFmtId="0" fontId="21" fillId="0" borderId="0">
      <alignment/>
      <protection/>
    </xf>
    <xf numFmtId="0" fontId="1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214" fontId="46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5" fontId="15" fillId="0" borderId="0" applyFill="0" applyBorder="0" applyAlignment="0" applyProtection="0"/>
    <xf numFmtId="215" fontId="15" fillId="0" borderId="0" applyFill="0" applyBorder="0" applyAlignment="0" applyProtection="0"/>
    <xf numFmtId="171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1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9" fontId="30" fillId="0" borderId="1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31" fillId="0" borderId="0" xfId="0" applyFont="1" applyFill="1" applyAlignment="1">
      <alignment horizontal="right"/>
    </xf>
    <xf numFmtId="4" fontId="31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0" fontId="0" fillId="0" borderId="18" xfId="0" applyFill="1" applyBorder="1" applyAlignment="1">
      <alignment/>
    </xf>
    <xf numFmtId="186" fontId="4" fillId="0" borderId="18" xfId="0" applyNumberFormat="1" applyFont="1" applyFill="1" applyBorder="1" applyAlignment="1">
      <alignment horizontal="center" vertical="center"/>
    </xf>
    <xf numFmtId="186" fontId="33" fillId="0" borderId="18" xfId="0" applyNumberFormat="1" applyFont="1" applyFill="1" applyBorder="1" applyAlignment="1">
      <alignment horizontal="center" vertical="center"/>
    </xf>
    <xf numFmtId="186" fontId="20" fillId="52" borderId="1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8" fillId="0" borderId="18" xfId="0" applyFont="1" applyFill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49" fontId="35" fillId="52" borderId="18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Alignment="1">
      <alignment/>
    </xf>
    <xf numFmtId="4" fontId="38" fillId="53" borderId="18" xfId="162" applyNumberFormat="1" applyFont="1" applyFill="1" applyBorder="1" applyAlignment="1">
      <alignment horizontal="center" vertical="center"/>
      <protection/>
    </xf>
    <xf numFmtId="4" fontId="30" fillId="53" borderId="18" xfId="162" applyNumberFormat="1" applyFont="1" applyFill="1" applyBorder="1" applyAlignment="1">
      <alignment horizontal="center" vertical="center"/>
      <protection/>
    </xf>
    <xf numFmtId="0" fontId="39" fillId="53" borderId="18" xfId="0" applyFont="1" applyFill="1" applyBorder="1" applyAlignment="1">
      <alignment horizontal="left" vertical="center" wrapText="1"/>
    </xf>
    <xf numFmtId="49" fontId="34" fillId="52" borderId="18" xfId="0" applyNumberFormat="1" applyFont="1" applyFill="1" applyBorder="1" applyAlignment="1">
      <alignment horizontal="center" vertical="center" wrapText="1"/>
    </xf>
    <xf numFmtId="0" fontId="20" fillId="52" borderId="18" xfId="0" applyFont="1" applyFill="1" applyBorder="1" applyAlignment="1">
      <alignment horizontal="center" vertical="center" wrapText="1"/>
    </xf>
    <xf numFmtId="4" fontId="20" fillId="52" borderId="1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wrapText="1"/>
    </xf>
    <xf numFmtId="49" fontId="34" fillId="52" borderId="20" xfId="0" applyNumberFormat="1" applyFont="1" applyFill="1" applyBorder="1" applyAlignment="1">
      <alignment horizontal="center" vertical="center" wrapText="1"/>
    </xf>
    <xf numFmtId="194" fontId="40" fillId="53" borderId="18" xfId="0" applyNumberFormat="1" applyFont="1" applyFill="1" applyBorder="1" applyAlignment="1">
      <alignment horizontal="center" vertical="center"/>
    </xf>
    <xf numFmtId="191" fontId="33" fillId="0" borderId="18" xfId="0" applyNumberFormat="1" applyFont="1" applyFill="1" applyBorder="1" applyAlignment="1">
      <alignment horizontal="center" vertical="center"/>
    </xf>
    <xf numFmtId="191" fontId="20" fillId="52" borderId="18" xfId="0" applyNumberFormat="1" applyFont="1" applyFill="1" applyBorder="1" applyAlignment="1">
      <alignment horizontal="center" vertical="center"/>
    </xf>
    <xf numFmtId="191" fontId="28" fillId="0" borderId="18" xfId="0" applyNumberFormat="1" applyFont="1" applyFill="1" applyBorder="1" applyAlignment="1">
      <alignment horizontal="center" vertical="center"/>
    </xf>
    <xf numFmtId="191" fontId="34" fillId="52" borderId="20" xfId="0" applyNumberFormat="1" applyFont="1" applyFill="1" applyBorder="1" applyAlignment="1">
      <alignment horizontal="center" vertical="center" wrapText="1"/>
    </xf>
    <xf numFmtId="0" fontId="27" fillId="52" borderId="18" xfId="0" applyFont="1" applyFill="1" applyBorder="1" applyAlignment="1">
      <alignment horizontal="center" vertical="center"/>
    </xf>
    <xf numFmtId="4" fontId="30" fillId="0" borderId="18" xfId="0" applyNumberFormat="1" applyFont="1" applyFill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center" vertical="center"/>
    </xf>
    <xf numFmtId="4" fontId="34" fillId="52" borderId="18" xfId="0" applyNumberFormat="1" applyFont="1" applyFill="1" applyBorder="1" applyAlignment="1">
      <alignment horizontal="center" vertical="center" wrapText="1"/>
    </xf>
    <xf numFmtId="4" fontId="37" fillId="0" borderId="18" xfId="0" applyNumberFormat="1" applyFont="1" applyFill="1" applyBorder="1" applyAlignment="1">
      <alignment horizontal="center" vertical="center" wrapText="1"/>
    </xf>
    <xf numFmtId="4" fontId="39" fillId="0" borderId="18" xfId="0" applyNumberFormat="1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/>
    </xf>
    <xf numFmtId="191" fontId="40" fillId="0" borderId="18" xfId="0" applyNumberFormat="1" applyFont="1" applyFill="1" applyBorder="1" applyAlignment="1">
      <alignment horizontal="center" vertical="center"/>
    </xf>
    <xf numFmtId="191" fontId="0" fillId="0" borderId="18" xfId="0" applyNumberFormat="1" applyFont="1" applyFill="1" applyBorder="1" applyAlignment="1">
      <alignment horizontal="center" vertical="center"/>
    </xf>
    <xf numFmtId="191" fontId="4" fillId="0" borderId="18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186" fontId="5" fillId="0" borderId="18" xfId="0" applyNumberFormat="1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4" fontId="34" fillId="52" borderId="18" xfId="0" applyNumberFormat="1" applyFont="1" applyFill="1" applyBorder="1" applyAlignment="1">
      <alignment horizontal="center" vertical="center" wrapText="1"/>
    </xf>
    <xf numFmtId="185" fontId="38" fillId="53" borderId="18" xfId="162" applyNumberFormat="1" applyFont="1" applyFill="1" applyBorder="1" applyAlignment="1">
      <alignment horizontal="left" vertical="center" wrapText="1"/>
      <protection/>
    </xf>
    <xf numFmtId="0" fontId="30" fillId="53" borderId="18" xfId="0" applyFont="1" applyFill="1" applyBorder="1" applyAlignment="1">
      <alignment horizontal="left" vertical="center" wrapText="1"/>
    </xf>
    <xf numFmtId="185" fontId="20" fillId="52" borderId="18" xfId="162" applyNumberFormat="1" applyFont="1" applyFill="1" applyBorder="1" applyAlignment="1">
      <alignment horizontal="left" vertical="center" wrapText="1"/>
      <protection/>
    </xf>
    <xf numFmtId="0" fontId="34" fillId="52" borderId="21" xfId="0" applyFont="1" applyFill="1" applyBorder="1" applyAlignment="1">
      <alignment horizontal="left" vertical="center" wrapText="1"/>
    </xf>
    <xf numFmtId="0" fontId="37" fillId="0" borderId="21" xfId="0" applyFont="1" applyFill="1" applyBorder="1" applyAlignment="1">
      <alignment horizontal="left" vertical="center" wrapText="1"/>
    </xf>
    <xf numFmtId="0" fontId="39" fillId="0" borderId="21" xfId="0" applyFont="1" applyFill="1" applyBorder="1" applyAlignment="1">
      <alignment horizontal="left" vertical="center" wrapText="1"/>
    </xf>
    <xf numFmtId="185" fontId="40" fillId="53" borderId="18" xfId="162" applyNumberFormat="1" applyFont="1" applyFill="1" applyBorder="1" applyAlignment="1">
      <alignment horizontal="left" vertical="center" wrapText="1"/>
      <protection/>
    </xf>
    <xf numFmtId="0" fontId="39" fillId="0" borderId="0" xfId="0" applyFont="1" applyFill="1" applyBorder="1" applyAlignment="1">
      <alignment horizontal="left" vertical="center" wrapText="1"/>
    </xf>
    <xf numFmtId="0" fontId="37" fillId="52" borderId="21" xfId="0" applyFont="1" applyFill="1" applyBorder="1" applyAlignment="1">
      <alignment horizontal="left" vertical="center" wrapText="1"/>
    </xf>
    <xf numFmtId="185" fontId="28" fillId="53" borderId="18" xfId="162" applyNumberFormat="1" applyFont="1" applyFill="1" applyBorder="1" applyAlignment="1">
      <alignment horizontal="left" vertical="center" wrapText="1"/>
      <protection/>
    </xf>
    <xf numFmtId="4" fontId="40" fillId="0" borderId="18" xfId="0" applyNumberFormat="1" applyFont="1" applyFill="1" applyBorder="1" applyAlignment="1">
      <alignment horizontal="center" vertical="center"/>
    </xf>
    <xf numFmtId="186" fontId="28" fillId="0" borderId="18" xfId="0" applyNumberFormat="1" applyFont="1" applyFill="1" applyBorder="1" applyAlignment="1">
      <alignment horizontal="center" vertical="center"/>
    </xf>
    <xf numFmtId="186" fontId="40" fillId="0" borderId="18" xfId="0" applyNumberFormat="1" applyFont="1" applyFill="1" applyBorder="1" applyAlignment="1">
      <alignment horizontal="center" vertical="center"/>
    </xf>
    <xf numFmtId="4" fontId="20" fillId="52" borderId="22" xfId="0" applyNumberFormat="1" applyFont="1" applyFill="1" applyBorder="1" applyAlignment="1">
      <alignment horizontal="center" vertical="center"/>
    </xf>
    <xf numFmtId="4" fontId="38" fillId="0" borderId="22" xfId="0" applyNumberFormat="1" applyFont="1" applyFill="1" applyBorder="1" applyAlignment="1">
      <alignment horizontal="center" vertical="center"/>
    </xf>
    <xf numFmtId="191" fontId="20" fillId="52" borderId="22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91" fontId="0" fillId="0" borderId="22" xfId="0" applyNumberFormat="1" applyFill="1" applyBorder="1" applyAlignment="1">
      <alignment horizontal="center" vertical="center"/>
    </xf>
    <xf numFmtId="191" fontId="28" fillId="0" borderId="22" xfId="0" applyNumberFormat="1" applyFont="1" applyFill="1" applyBorder="1" applyAlignment="1">
      <alignment horizontal="center" vertical="center"/>
    </xf>
    <xf numFmtId="191" fontId="33" fillId="0" borderId="22" xfId="0" applyNumberFormat="1" applyFont="1" applyFill="1" applyBorder="1" applyAlignment="1">
      <alignment horizontal="center" vertical="center"/>
    </xf>
    <xf numFmtId="191" fontId="40" fillId="0" borderId="22" xfId="0" applyNumberFormat="1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194" fontId="40" fillId="0" borderId="22" xfId="0" applyNumberFormat="1" applyFont="1" applyFill="1" applyBorder="1" applyAlignment="1">
      <alignment horizontal="center" vertical="center"/>
    </xf>
    <xf numFmtId="0" fontId="27" fillId="52" borderId="22" xfId="0" applyFont="1" applyFill="1" applyBorder="1" applyAlignment="1">
      <alignment horizontal="center" vertical="center"/>
    </xf>
    <xf numFmtId="186" fontId="28" fillId="0" borderId="22" xfId="0" applyNumberFormat="1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2" fontId="20" fillId="54" borderId="18" xfId="0" applyNumberFormat="1" applyFont="1" applyFill="1" applyBorder="1" applyAlignment="1">
      <alignment horizontal="center" vertical="center"/>
    </xf>
    <xf numFmtId="2" fontId="20" fillId="55" borderId="18" xfId="0" applyNumberFormat="1" applyFont="1" applyFill="1" applyBorder="1" applyAlignment="1">
      <alignment horizontal="center" vertical="center"/>
    </xf>
    <xf numFmtId="2" fontId="38" fillId="55" borderId="18" xfId="0" applyNumberFormat="1" applyFont="1" applyFill="1" applyBorder="1" applyAlignment="1">
      <alignment horizontal="center" vertical="center"/>
    </xf>
    <xf numFmtId="2" fontId="28" fillId="55" borderId="18" xfId="0" applyNumberFormat="1" applyFont="1" applyFill="1" applyBorder="1" applyAlignment="1">
      <alignment horizontal="center" vertical="center"/>
    </xf>
    <xf numFmtId="2" fontId="40" fillId="55" borderId="18" xfId="0" applyNumberFormat="1" applyFont="1" applyFill="1" applyBorder="1" applyAlignment="1">
      <alignment horizontal="center" vertical="center"/>
    </xf>
    <xf numFmtId="4" fontId="38" fillId="0" borderId="18" xfId="0" applyNumberFormat="1" applyFont="1" applyFill="1" applyBorder="1" applyAlignment="1">
      <alignment horizontal="center" vertical="center"/>
    </xf>
    <xf numFmtId="2" fontId="20" fillId="54" borderId="20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 wrapText="1"/>
    </xf>
    <xf numFmtId="4" fontId="30" fillId="55" borderId="18" xfId="0" applyNumberFormat="1" applyFont="1" applyFill="1" applyBorder="1" applyAlignment="1">
      <alignment horizontal="center" vertical="center" wrapText="1"/>
    </xf>
    <xf numFmtId="219" fontId="37" fillId="0" borderId="18" xfId="0" applyNumberFormat="1" applyFont="1" applyFill="1" applyBorder="1" applyAlignment="1">
      <alignment horizontal="center" vertical="center" wrapText="1"/>
    </xf>
    <xf numFmtId="219" fontId="33" fillId="0" borderId="18" xfId="0" applyNumberFormat="1" applyFont="1" applyFill="1" applyBorder="1" applyAlignment="1">
      <alignment horizontal="center"/>
    </xf>
    <xf numFmtId="219" fontId="33" fillId="0" borderId="18" xfId="0" applyNumberFormat="1" applyFont="1" applyFill="1" applyBorder="1" applyAlignment="1">
      <alignment horizontal="center" vertical="center"/>
    </xf>
    <xf numFmtId="219" fontId="0" fillId="0" borderId="18" xfId="0" applyNumberFormat="1" applyFill="1" applyBorder="1" applyAlignment="1">
      <alignment/>
    </xf>
    <xf numFmtId="219" fontId="34" fillId="52" borderId="20" xfId="0" applyNumberFormat="1" applyFont="1" applyFill="1" applyBorder="1" applyAlignment="1">
      <alignment horizontal="center" vertical="center" wrapText="1"/>
    </xf>
    <xf numFmtId="219" fontId="4" fillId="0" borderId="18" xfId="0" applyNumberFormat="1" applyFont="1" applyFill="1" applyBorder="1" applyAlignment="1">
      <alignment/>
    </xf>
    <xf numFmtId="219" fontId="34" fillId="52" borderId="18" xfId="0" applyNumberFormat="1" applyFont="1" applyFill="1" applyBorder="1" applyAlignment="1">
      <alignment horizontal="center" vertical="center" wrapText="1"/>
    </xf>
    <xf numFmtId="0" fontId="34" fillId="54" borderId="0" xfId="0" applyFont="1" applyFill="1" applyBorder="1" applyAlignment="1">
      <alignment horizontal="center" vertical="center" wrapText="1"/>
    </xf>
    <xf numFmtId="191" fontId="34" fillId="54" borderId="20" xfId="0" applyNumberFormat="1" applyFont="1" applyFill="1" applyBorder="1" applyAlignment="1">
      <alignment horizontal="center" vertical="center" wrapText="1"/>
    </xf>
    <xf numFmtId="0" fontId="27" fillId="54" borderId="18" xfId="0" applyFont="1" applyFill="1" applyBorder="1" applyAlignment="1">
      <alignment horizontal="center" vertical="center"/>
    </xf>
    <xf numFmtId="0" fontId="20" fillId="54" borderId="18" xfId="0" applyFont="1" applyFill="1" applyBorder="1" applyAlignment="1">
      <alignment horizontal="center" vertical="center" wrapText="1"/>
    </xf>
    <xf numFmtId="4" fontId="20" fillId="54" borderId="18" xfId="0" applyNumberFormat="1" applyFont="1" applyFill="1" applyBorder="1" applyAlignment="1">
      <alignment horizontal="center" vertical="center"/>
    </xf>
    <xf numFmtId="4" fontId="20" fillId="54" borderId="20" xfId="0" applyNumberFormat="1" applyFont="1" applyFill="1" applyBorder="1" applyAlignment="1">
      <alignment horizontal="center" vertical="center"/>
    </xf>
    <xf numFmtId="185" fontId="38" fillId="55" borderId="18" xfId="162" applyNumberFormat="1" applyFont="1" applyFill="1" applyBorder="1" applyAlignment="1">
      <alignment horizontal="left" vertical="center" wrapText="1"/>
      <protection/>
    </xf>
    <xf numFmtId="0" fontId="38" fillId="55" borderId="18" xfId="0" applyFont="1" applyFill="1" applyBorder="1" applyAlignment="1">
      <alignment horizontal="center" vertical="center"/>
    </xf>
    <xf numFmtId="0" fontId="28" fillId="55" borderId="18" xfId="0" applyFont="1" applyFill="1" applyBorder="1" applyAlignment="1">
      <alignment horizontal="center" vertical="center" wrapText="1"/>
    </xf>
    <xf numFmtId="4" fontId="38" fillId="55" borderId="18" xfId="162" applyNumberFormat="1" applyFont="1" applyFill="1" applyBorder="1" applyAlignment="1">
      <alignment horizontal="center" vertical="center"/>
      <protection/>
    </xf>
    <xf numFmtId="4" fontId="38" fillId="55" borderId="18" xfId="0" applyNumberFormat="1" applyFont="1" applyFill="1" applyBorder="1" applyAlignment="1">
      <alignment horizontal="center" vertical="center"/>
    </xf>
    <xf numFmtId="219" fontId="38" fillId="55" borderId="18" xfId="0" applyNumberFormat="1" applyFont="1" applyFill="1" applyBorder="1" applyAlignment="1">
      <alignment horizontal="center" vertical="center"/>
    </xf>
    <xf numFmtId="219" fontId="38" fillId="55" borderId="18" xfId="0" applyNumberFormat="1" applyFont="1" applyFill="1" applyBorder="1" applyAlignment="1">
      <alignment vertical="center"/>
    </xf>
    <xf numFmtId="0" fontId="30" fillId="55" borderId="28" xfId="0" applyFont="1" applyFill="1" applyBorder="1" applyAlignment="1">
      <alignment horizontal="left" vertical="center" wrapText="1"/>
    </xf>
    <xf numFmtId="49" fontId="30" fillId="55" borderId="28" xfId="0" applyNumberFormat="1" applyFont="1" applyFill="1" applyBorder="1" applyAlignment="1">
      <alignment horizontal="left" vertical="center" wrapText="1"/>
    </xf>
    <xf numFmtId="0" fontId="38" fillId="55" borderId="18" xfId="0" applyFont="1" applyFill="1" applyBorder="1" applyAlignment="1">
      <alignment horizontal="left" wrapText="1"/>
    </xf>
    <xf numFmtId="0" fontId="38" fillId="55" borderId="18" xfId="0" applyFont="1" applyFill="1" applyBorder="1" applyAlignment="1">
      <alignment wrapText="1"/>
    </xf>
    <xf numFmtId="0" fontId="27" fillId="55" borderId="18" xfId="0" applyFont="1" applyFill="1" applyBorder="1" applyAlignment="1">
      <alignment vertical="top" wrapText="1"/>
    </xf>
    <xf numFmtId="0" fontId="30" fillId="55" borderId="18" xfId="0" applyFont="1" applyFill="1" applyBorder="1" applyAlignment="1">
      <alignment horizontal="left" vertical="center" wrapText="1"/>
    </xf>
    <xf numFmtId="219" fontId="38" fillId="0" borderId="18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31" fillId="0" borderId="0" xfId="0" applyFont="1" applyFill="1" applyAlignment="1">
      <alignment horizontal="left" wrapText="1"/>
    </xf>
    <xf numFmtId="0" fontId="34" fillId="52" borderId="18" xfId="0" applyFont="1" applyFill="1" applyBorder="1" applyAlignment="1">
      <alignment horizontal="center" vertical="center" wrapText="1"/>
    </xf>
    <xf numFmtId="0" fontId="34" fillId="52" borderId="22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wrapText="1"/>
    </xf>
    <xf numFmtId="0" fontId="0" fillId="0" borderId="0" xfId="0" applyAlignment="1">
      <alignment/>
    </xf>
    <xf numFmtId="49" fontId="30" fillId="0" borderId="33" xfId="0" applyNumberFormat="1" applyFont="1" applyFill="1" applyBorder="1" applyAlignment="1">
      <alignment horizontal="center" vertical="center" wrapText="1"/>
    </xf>
    <xf numFmtId="0" fontId="0" fillId="0" borderId="34" xfId="0" applyBorder="1" applyAlignment="1">
      <alignment vertical="center"/>
    </xf>
    <xf numFmtId="0" fontId="29" fillId="0" borderId="3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9" fillId="0" borderId="35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0" fillId="0" borderId="32" xfId="0" applyBorder="1" applyAlignment="1">
      <alignment horizontal="center" vertical="center" wrapText="1"/>
    </xf>
  </cellXfs>
  <cellStyles count="234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Normal_Local Bud Plan 2003" xfId="87"/>
    <cellStyle name="Акцент1" xfId="88"/>
    <cellStyle name="Акцент1 2" xfId="89"/>
    <cellStyle name="Акцент1 3" xfId="90"/>
    <cellStyle name="Акцент2" xfId="91"/>
    <cellStyle name="Акцент2 2" xfId="92"/>
    <cellStyle name="Акцент2 3" xfId="93"/>
    <cellStyle name="Акцент3" xfId="94"/>
    <cellStyle name="Акцент3 2" xfId="95"/>
    <cellStyle name="Акцент3 3" xfId="96"/>
    <cellStyle name="Акцент4" xfId="97"/>
    <cellStyle name="Акцент4 2" xfId="98"/>
    <cellStyle name="Акцент4 3" xfId="99"/>
    <cellStyle name="Акцент5" xfId="100"/>
    <cellStyle name="Акцент5 2" xfId="101"/>
    <cellStyle name="Акцент5 3" xfId="102"/>
    <cellStyle name="Акцент6" xfId="103"/>
    <cellStyle name="Акцент6 2" xfId="104"/>
    <cellStyle name="Акцент6 3" xfId="105"/>
    <cellStyle name="Акцентування1" xfId="106"/>
    <cellStyle name="Акцентування2" xfId="107"/>
    <cellStyle name="Акцентування3" xfId="108"/>
    <cellStyle name="Акцентування4" xfId="109"/>
    <cellStyle name="Акцентування5" xfId="110"/>
    <cellStyle name="Акцентування6" xfId="111"/>
    <cellStyle name="Ввід" xfId="112"/>
    <cellStyle name="Ввод " xfId="113"/>
    <cellStyle name="Ввод  2" xfId="114"/>
    <cellStyle name="Ввод  3" xfId="115"/>
    <cellStyle name="Вывод" xfId="116"/>
    <cellStyle name="Вывод 2" xfId="117"/>
    <cellStyle name="Вывод 3" xfId="118"/>
    <cellStyle name="Вычисление" xfId="119"/>
    <cellStyle name="Вычисление 2" xfId="120"/>
    <cellStyle name="Вычисление 3" xfId="121"/>
    <cellStyle name="Hyperlink" xfId="122"/>
    <cellStyle name="Гиперссылка 2" xfId="123"/>
    <cellStyle name="Currency" xfId="124"/>
    <cellStyle name="Currency [0]" xfId="125"/>
    <cellStyle name="Денежный 2" xfId="126"/>
    <cellStyle name="Денежный 3" xfId="127"/>
    <cellStyle name="Денежный 3 2" xfId="128"/>
    <cellStyle name="Добре" xfId="129"/>
    <cellStyle name="Заголовок 1" xfId="130"/>
    <cellStyle name="Заголовок 1 2" xfId="131"/>
    <cellStyle name="Заголовок 1 3" xfId="132"/>
    <cellStyle name="Заголовок 2" xfId="133"/>
    <cellStyle name="Заголовок 2 2" xfId="134"/>
    <cellStyle name="Заголовок 2 3" xfId="135"/>
    <cellStyle name="Заголовок 3" xfId="136"/>
    <cellStyle name="Заголовок 3 2" xfId="137"/>
    <cellStyle name="Заголовок 3 3" xfId="138"/>
    <cellStyle name="Заголовок 4" xfId="139"/>
    <cellStyle name="Заголовок 4 2" xfId="140"/>
    <cellStyle name="Заголовок 4 3" xfId="141"/>
    <cellStyle name="Звичайний 10" xfId="142"/>
    <cellStyle name="Звичайний 11" xfId="143"/>
    <cellStyle name="Звичайний 12" xfId="144"/>
    <cellStyle name="Звичайний 13" xfId="145"/>
    <cellStyle name="Звичайний 14" xfId="146"/>
    <cellStyle name="Звичайний 15" xfId="147"/>
    <cellStyle name="Звичайний 16" xfId="148"/>
    <cellStyle name="Звичайний 17" xfId="149"/>
    <cellStyle name="Звичайний 18" xfId="150"/>
    <cellStyle name="Звичайний 19" xfId="151"/>
    <cellStyle name="Звичайний 2" xfId="152"/>
    <cellStyle name="Звичайний 20" xfId="153"/>
    <cellStyle name="Звичайний 3" xfId="154"/>
    <cellStyle name="Звичайний 4" xfId="155"/>
    <cellStyle name="Звичайний 5" xfId="156"/>
    <cellStyle name="Звичайний 6" xfId="157"/>
    <cellStyle name="Звичайний 7" xfId="158"/>
    <cellStyle name="Звичайний 8" xfId="159"/>
    <cellStyle name="Звичайний 9" xfId="160"/>
    <cellStyle name="Звичайний_Xl0000125" xfId="161"/>
    <cellStyle name="Звичайний_Додаток _ 3 зм_ни 4575" xfId="162"/>
    <cellStyle name="Зв'язана клітинка" xfId="163"/>
    <cellStyle name="Итог" xfId="164"/>
    <cellStyle name="Итог 2" xfId="165"/>
    <cellStyle name="Итог 3" xfId="166"/>
    <cellStyle name="Контрольна клітинка" xfId="167"/>
    <cellStyle name="Контрольная ячейка" xfId="168"/>
    <cellStyle name="Контрольная ячейка 2" xfId="169"/>
    <cellStyle name="Контрольная ячейка 3" xfId="170"/>
    <cellStyle name="Назва" xfId="171"/>
    <cellStyle name="Название" xfId="172"/>
    <cellStyle name="Название 2" xfId="173"/>
    <cellStyle name="Название 3" xfId="174"/>
    <cellStyle name="Нейтральный" xfId="175"/>
    <cellStyle name="Нейтральный 2" xfId="176"/>
    <cellStyle name="Нейтральный 3" xfId="177"/>
    <cellStyle name="Обчислення" xfId="178"/>
    <cellStyle name="Обычный 10" xfId="179"/>
    <cellStyle name="Обычный 11" xfId="180"/>
    <cellStyle name="Обычный 12" xfId="181"/>
    <cellStyle name="Обычный 13" xfId="182"/>
    <cellStyle name="Обычный 16" xfId="183"/>
    <cellStyle name="Обычный 18" xfId="184"/>
    <cellStyle name="Обычный 2" xfId="185"/>
    <cellStyle name="Обычный 2 2" xfId="186"/>
    <cellStyle name="Обычный 2 3" xfId="187"/>
    <cellStyle name="Обычный 2 4" xfId="188"/>
    <cellStyle name="Обычный 2 5" xfId="189"/>
    <cellStyle name="Обычный 2 6" xfId="190"/>
    <cellStyle name="Обычный 2 7" xfId="191"/>
    <cellStyle name="Обычный 2 8" xfId="192"/>
    <cellStyle name="Обычный 2 9" xfId="193"/>
    <cellStyle name="Обычный 2_дод до поясн" xfId="194"/>
    <cellStyle name="Обычный 3" xfId="195"/>
    <cellStyle name="Обычный 3 2" xfId="196"/>
    <cellStyle name="Обычный 3 3" xfId="197"/>
    <cellStyle name="Обычный 3 4" xfId="198"/>
    <cellStyle name="Обычный 3_дод до поясн" xfId="199"/>
    <cellStyle name="Обычный 4" xfId="200"/>
    <cellStyle name="Обычный 4 2" xfId="201"/>
    <cellStyle name="Обычный 4 3" xfId="202"/>
    <cellStyle name="Обычный 4_додаткові пропозиції" xfId="203"/>
    <cellStyle name="Обычный 43" xfId="204"/>
    <cellStyle name="Обычный 5" xfId="205"/>
    <cellStyle name="Обычный 6" xfId="206"/>
    <cellStyle name="Обычный 6 2" xfId="207"/>
    <cellStyle name="Обычный 7" xfId="208"/>
    <cellStyle name="Обычный 8" xfId="209"/>
    <cellStyle name="Обычный 9" xfId="210"/>
    <cellStyle name="Обычный 9 2" xfId="211"/>
    <cellStyle name="Followed Hyperlink" xfId="212"/>
    <cellStyle name="Підсумок" xfId="213"/>
    <cellStyle name="Плохой" xfId="214"/>
    <cellStyle name="Плохой 2" xfId="215"/>
    <cellStyle name="Плохой 3" xfId="216"/>
    <cellStyle name="Поганий" xfId="217"/>
    <cellStyle name="Пояснение" xfId="218"/>
    <cellStyle name="Пояснение 2" xfId="219"/>
    <cellStyle name="Пояснение 3" xfId="220"/>
    <cellStyle name="Примечание" xfId="221"/>
    <cellStyle name="Примечание 2" xfId="222"/>
    <cellStyle name="Примечание 3" xfId="223"/>
    <cellStyle name="Примітка" xfId="224"/>
    <cellStyle name="Percent" xfId="225"/>
    <cellStyle name="Процентный 2" xfId="226"/>
    <cellStyle name="Результат" xfId="227"/>
    <cellStyle name="Связанная ячейка" xfId="228"/>
    <cellStyle name="Связанная ячейка 2" xfId="229"/>
    <cellStyle name="Связанная ячейка 3" xfId="230"/>
    <cellStyle name="Середній" xfId="231"/>
    <cellStyle name="Стиль 1" xfId="232"/>
    <cellStyle name="Текст попередження" xfId="233"/>
    <cellStyle name="Текст пояснення" xfId="234"/>
    <cellStyle name="Текст предупреждения" xfId="235"/>
    <cellStyle name="Текст предупреждения 2" xfId="236"/>
    <cellStyle name="Текст предупреждения 3" xfId="237"/>
    <cellStyle name="Тысячи [0]_Розподіл (2)" xfId="238"/>
    <cellStyle name="Тысячи_бюджет 1998 по клас." xfId="239"/>
    <cellStyle name="Comma" xfId="240"/>
    <cellStyle name="Comma [0]" xfId="241"/>
    <cellStyle name="Финансовый 2" xfId="242"/>
    <cellStyle name="Финансовый 3" xfId="243"/>
    <cellStyle name="Финансовый 3 2" xfId="244"/>
    <cellStyle name="Хороший" xfId="245"/>
    <cellStyle name="Хороший 2" xfId="246"/>
    <cellStyle name="Хороший 3" xfId="2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36"/>
  <sheetViews>
    <sheetView tabSelected="1" zoomScale="90" zoomScaleNormal="90" zoomScalePageLayoutView="0" workbookViewId="0" topLeftCell="A1">
      <selection activeCell="AI67" sqref="AI67"/>
    </sheetView>
  </sheetViews>
  <sheetFormatPr defaultColWidth="8.66015625" defaultRowHeight="12.75"/>
  <cols>
    <col min="1" max="1" width="8.33203125" style="22" customWidth="1"/>
    <col min="2" max="2" width="68" style="2" customWidth="1"/>
    <col min="3" max="3" width="21.5" style="1" customWidth="1"/>
    <col min="4" max="4" width="20" style="1" hidden="1" customWidth="1"/>
    <col min="5" max="5" width="16.33203125" style="1" hidden="1" customWidth="1"/>
    <col min="6" max="6" width="25.66015625" style="1" hidden="1" customWidth="1"/>
    <col min="7" max="7" width="26.33203125" style="1" hidden="1" customWidth="1"/>
    <col min="8" max="10" width="20.33203125" style="1" hidden="1" customWidth="1"/>
    <col min="11" max="11" width="22.33203125" style="1" hidden="1" customWidth="1"/>
    <col min="12" max="12" width="21.33203125" style="1" hidden="1" customWidth="1"/>
    <col min="13" max="14" width="20.33203125" style="1" hidden="1" customWidth="1"/>
    <col min="15" max="15" width="22.66015625" style="1" hidden="1" customWidth="1"/>
    <col min="16" max="16" width="32.33203125" style="1" hidden="1" customWidth="1"/>
    <col min="17" max="17" width="30.33203125" style="1" hidden="1" customWidth="1"/>
    <col min="18" max="18" width="28.66015625" style="1" hidden="1" customWidth="1"/>
    <col min="19" max="19" width="0.328125" style="1" hidden="1" customWidth="1"/>
    <col min="20" max="20" width="15.33203125" style="1" hidden="1" customWidth="1"/>
    <col min="21" max="21" width="24.33203125" style="1" hidden="1" customWidth="1"/>
    <col min="22" max="22" width="21.33203125" style="1" hidden="1" customWidth="1"/>
    <col min="23" max="23" width="27.33203125" style="1" hidden="1" customWidth="1"/>
    <col min="24" max="24" width="23.66015625" style="1" hidden="1" customWidth="1"/>
    <col min="25" max="25" width="25.33203125" style="1" hidden="1" customWidth="1"/>
    <col min="26" max="26" width="20.33203125" style="1" hidden="1" customWidth="1"/>
    <col min="27" max="27" width="45.33203125" style="1" hidden="1" customWidth="1"/>
    <col min="28" max="28" width="22" style="1" hidden="1" customWidth="1"/>
    <col min="29" max="29" width="17.33203125" style="6" customWidth="1"/>
    <col min="30" max="30" width="18.5" style="1" customWidth="1"/>
    <col min="31" max="31" width="19.16015625" style="1" customWidth="1"/>
    <col min="32" max="32" width="18.83203125" style="1" customWidth="1"/>
    <col min="33" max="33" width="14.66015625" style="1" bestFit="1" customWidth="1"/>
    <col min="34" max="16384" width="8.66015625" style="1" customWidth="1"/>
  </cols>
  <sheetData>
    <row r="1" ht="9.75" customHeight="1">
      <c r="AE1" s="31"/>
    </row>
    <row r="2" spans="1:31" ht="20.25" customHeight="1">
      <c r="A2" s="126" t="s">
        <v>24</v>
      </c>
      <c r="B2" s="126"/>
      <c r="C2" s="126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</row>
    <row r="3" spans="2:30" ht="6.75" customHeight="1" thickBot="1">
      <c r="B3" s="7"/>
      <c r="C3" s="7"/>
      <c r="AD3" s="19"/>
    </row>
    <row r="4" spans="1:33" ht="12.75">
      <c r="A4" s="128" t="s">
        <v>16</v>
      </c>
      <c r="B4" s="130" t="s">
        <v>17</v>
      </c>
      <c r="C4" s="132" t="s">
        <v>36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133" t="s">
        <v>66</v>
      </c>
      <c r="AD4" s="121" t="s">
        <v>67</v>
      </c>
      <c r="AE4" s="86" t="s">
        <v>135</v>
      </c>
      <c r="AF4" s="121" t="s">
        <v>215</v>
      </c>
      <c r="AG4" s="119" t="s">
        <v>172</v>
      </c>
    </row>
    <row r="5" spans="1:33" ht="41.25" customHeight="1" thickBot="1">
      <c r="A5" s="129"/>
      <c r="B5" s="131"/>
      <c r="C5" s="131"/>
      <c r="D5" s="87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9"/>
      <c r="AC5" s="134"/>
      <c r="AD5" s="135"/>
      <c r="AE5" s="90" t="s">
        <v>134</v>
      </c>
      <c r="AF5" s="122"/>
      <c r="AG5" s="120"/>
    </row>
    <row r="6" spans="1:33" ht="30">
      <c r="A6" s="32" t="s">
        <v>28</v>
      </c>
      <c r="B6" s="99" t="s">
        <v>86</v>
      </c>
      <c r="C6" s="100">
        <f>AD6</f>
        <v>17914947.849999998</v>
      </c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2"/>
      <c r="AD6" s="103">
        <f>SUM(AD7:AD65)</f>
        <v>17914947.849999998</v>
      </c>
      <c r="AE6" s="103">
        <f>AD6</f>
        <v>17914947.849999998</v>
      </c>
      <c r="AF6" s="104">
        <f>SUM(AF7:AF65)</f>
        <v>1887804.4</v>
      </c>
      <c r="AG6" s="84">
        <f>AF6/C6*100</f>
        <v>10.537593610689747</v>
      </c>
    </row>
    <row r="7" spans="1:33" ht="42">
      <c r="A7" s="21" t="s">
        <v>2</v>
      </c>
      <c r="B7" s="105" t="s">
        <v>177</v>
      </c>
      <c r="C7" s="91">
        <f>AD7</f>
        <v>22979</v>
      </c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7"/>
      <c r="AD7" s="108">
        <f>AE7</f>
        <v>22979</v>
      </c>
      <c r="AE7" s="109">
        <v>22979</v>
      </c>
      <c r="AF7" s="110"/>
      <c r="AG7" s="80">
        <f>AF7/C7*100</f>
        <v>0</v>
      </c>
    </row>
    <row r="8" spans="1:33" ht="27.75">
      <c r="A8" s="21" t="s">
        <v>50</v>
      </c>
      <c r="B8" s="105" t="s">
        <v>178</v>
      </c>
      <c r="C8" s="91">
        <f aca="true" t="shared" si="0" ref="C8:C65">AD8</f>
        <v>26000</v>
      </c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7"/>
      <c r="AD8" s="108">
        <f aca="true" t="shared" si="1" ref="AD8:AD65">AE8</f>
        <v>26000</v>
      </c>
      <c r="AE8" s="109">
        <v>26000</v>
      </c>
      <c r="AF8" s="110"/>
      <c r="AG8" s="80">
        <f aca="true" t="shared" si="2" ref="AG8:AG81">AF8/C8*100</f>
        <v>0</v>
      </c>
    </row>
    <row r="9" spans="1:33" ht="27.75">
      <c r="A9" s="21" t="s">
        <v>51</v>
      </c>
      <c r="B9" s="105" t="s">
        <v>179</v>
      </c>
      <c r="C9" s="91">
        <f t="shared" si="0"/>
        <v>290000</v>
      </c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7"/>
      <c r="AD9" s="108">
        <f t="shared" si="1"/>
        <v>290000</v>
      </c>
      <c r="AE9" s="109">
        <v>290000</v>
      </c>
      <c r="AF9" s="110"/>
      <c r="AG9" s="80">
        <f t="shared" si="2"/>
        <v>0</v>
      </c>
    </row>
    <row r="10" spans="1:33" ht="27.75">
      <c r="A10" s="21" t="s">
        <v>44</v>
      </c>
      <c r="B10" s="105" t="s">
        <v>68</v>
      </c>
      <c r="C10" s="91">
        <f t="shared" si="0"/>
        <v>400000</v>
      </c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7"/>
      <c r="AD10" s="108">
        <f t="shared" si="1"/>
        <v>400000</v>
      </c>
      <c r="AE10" s="109">
        <v>400000</v>
      </c>
      <c r="AF10" s="110">
        <v>25924.8</v>
      </c>
      <c r="AG10" s="80">
        <f t="shared" si="2"/>
        <v>6.481199999999999</v>
      </c>
    </row>
    <row r="11" spans="1:33" ht="27.75">
      <c r="A11" s="21" t="s">
        <v>45</v>
      </c>
      <c r="B11" s="105" t="s">
        <v>69</v>
      </c>
      <c r="C11" s="91">
        <f t="shared" si="0"/>
        <v>400000</v>
      </c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7"/>
      <c r="AD11" s="108">
        <f t="shared" si="1"/>
        <v>400000</v>
      </c>
      <c r="AE11" s="109">
        <v>400000</v>
      </c>
      <c r="AF11" s="110"/>
      <c r="AG11" s="80">
        <f t="shared" si="2"/>
        <v>0</v>
      </c>
    </row>
    <row r="12" spans="1:33" ht="27.75">
      <c r="A12" s="21" t="s">
        <v>19</v>
      </c>
      <c r="B12" s="105" t="s">
        <v>70</v>
      </c>
      <c r="C12" s="91">
        <f t="shared" si="0"/>
        <v>200000</v>
      </c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7"/>
      <c r="AD12" s="108">
        <f t="shared" si="1"/>
        <v>200000</v>
      </c>
      <c r="AE12" s="109">
        <v>200000</v>
      </c>
      <c r="AF12" s="110"/>
      <c r="AG12" s="80">
        <f t="shared" si="2"/>
        <v>0</v>
      </c>
    </row>
    <row r="13" spans="1:33" ht="27.75">
      <c r="A13" s="21" t="s">
        <v>20</v>
      </c>
      <c r="B13" s="105" t="s">
        <v>71</v>
      </c>
      <c r="C13" s="91">
        <f t="shared" si="0"/>
        <v>485000</v>
      </c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7"/>
      <c r="AD13" s="108">
        <f t="shared" si="1"/>
        <v>485000</v>
      </c>
      <c r="AE13" s="109">
        <v>485000</v>
      </c>
      <c r="AF13" s="110"/>
      <c r="AG13" s="80">
        <f t="shared" si="2"/>
        <v>0</v>
      </c>
    </row>
    <row r="14" spans="1:33" ht="27.75">
      <c r="A14" s="21" t="s">
        <v>46</v>
      </c>
      <c r="B14" s="105" t="s">
        <v>72</v>
      </c>
      <c r="C14" s="91">
        <f t="shared" si="0"/>
        <v>180000</v>
      </c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7"/>
      <c r="AD14" s="108">
        <f t="shared" si="1"/>
        <v>180000</v>
      </c>
      <c r="AE14" s="109">
        <v>180000</v>
      </c>
      <c r="AF14" s="110"/>
      <c r="AG14" s="80">
        <f t="shared" si="2"/>
        <v>0</v>
      </c>
    </row>
    <row r="15" spans="1:33" ht="27.75">
      <c r="A15" s="21" t="s">
        <v>0</v>
      </c>
      <c r="B15" s="105" t="s">
        <v>73</v>
      </c>
      <c r="C15" s="91">
        <f t="shared" si="0"/>
        <v>50000</v>
      </c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7"/>
      <c r="AD15" s="108">
        <f t="shared" si="1"/>
        <v>50000</v>
      </c>
      <c r="AE15" s="109">
        <v>50000</v>
      </c>
      <c r="AF15" s="110"/>
      <c r="AG15" s="80">
        <f t="shared" si="2"/>
        <v>0</v>
      </c>
    </row>
    <row r="16" spans="1:33" ht="27.75">
      <c r="A16" s="21" t="s">
        <v>26</v>
      </c>
      <c r="B16" s="105" t="s">
        <v>74</v>
      </c>
      <c r="C16" s="91">
        <f t="shared" si="0"/>
        <v>936751</v>
      </c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7"/>
      <c r="AD16" s="108">
        <f t="shared" si="1"/>
        <v>936751</v>
      </c>
      <c r="AE16" s="109">
        <v>936751</v>
      </c>
      <c r="AF16" s="110">
        <v>211800</v>
      </c>
      <c r="AG16" s="80">
        <f t="shared" si="2"/>
        <v>22.610063933745465</v>
      </c>
    </row>
    <row r="17" spans="1:33" ht="27.75">
      <c r="A17" s="21" t="s">
        <v>52</v>
      </c>
      <c r="B17" s="105" t="s">
        <v>75</v>
      </c>
      <c r="C17" s="91">
        <f t="shared" si="0"/>
        <v>80000</v>
      </c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7"/>
      <c r="AD17" s="108">
        <f t="shared" si="1"/>
        <v>80000</v>
      </c>
      <c r="AE17" s="109">
        <v>80000</v>
      </c>
      <c r="AF17" s="111"/>
      <c r="AG17" s="80">
        <f t="shared" si="2"/>
        <v>0</v>
      </c>
    </row>
    <row r="18" spans="1:33" ht="27.75">
      <c r="A18" s="21" t="s">
        <v>22</v>
      </c>
      <c r="B18" s="105" t="s">
        <v>76</v>
      </c>
      <c r="C18" s="91">
        <f t="shared" si="0"/>
        <v>500000</v>
      </c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7"/>
      <c r="AD18" s="108">
        <f t="shared" si="1"/>
        <v>500000</v>
      </c>
      <c r="AE18" s="109">
        <v>500000</v>
      </c>
      <c r="AF18" s="111"/>
      <c r="AG18" s="80">
        <f t="shared" si="2"/>
        <v>0</v>
      </c>
    </row>
    <row r="19" spans="1:33" ht="27.75">
      <c r="A19" s="21" t="s">
        <v>88</v>
      </c>
      <c r="B19" s="105" t="s">
        <v>77</v>
      </c>
      <c r="C19" s="91">
        <f t="shared" si="0"/>
        <v>500000</v>
      </c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7"/>
      <c r="AD19" s="108">
        <f t="shared" si="1"/>
        <v>500000</v>
      </c>
      <c r="AE19" s="109">
        <v>500000</v>
      </c>
      <c r="AF19" s="110">
        <v>345755.8</v>
      </c>
      <c r="AG19" s="80">
        <f t="shared" si="2"/>
        <v>69.15116</v>
      </c>
    </row>
    <row r="20" spans="1:33" ht="27.75">
      <c r="A20" s="21" t="s">
        <v>89</v>
      </c>
      <c r="B20" s="105" t="s">
        <v>180</v>
      </c>
      <c r="C20" s="91">
        <f t="shared" si="0"/>
        <v>200000</v>
      </c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7"/>
      <c r="AD20" s="108">
        <f t="shared" si="1"/>
        <v>200000</v>
      </c>
      <c r="AE20" s="109">
        <v>200000</v>
      </c>
      <c r="AF20" s="111"/>
      <c r="AG20" s="80">
        <f t="shared" si="2"/>
        <v>0</v>
      </c>
    </row>
    <row r="21" spans="1:33" ht="27.75">
      <c r="A21" s="21" t="s">
        <v>90</v>
      </c>
      <c r="B21" s="105" t="s">
        <v>181</v>
      </c>
      <c r="C21" s="91">
        <f t="shared" si="0"/>
        <v>150000</v>
      </c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7"/>
      <c r="AD21" s="108">
        <f t="shared" si="1"/>
        <v>150000</v>
      </c>
      <c r="AE21" s="109">
        <v>150000</v>
      </c>
      <c r="AF21" s="111"/>
      <c r="AG21" s="80">
        <f t="shared" si="2"/>
        <v>0</v>
      </c>
    </row>
    <row r="22" spans="1:33" ht="27.75">
      <c r="A22" s="21" t="s">
        <v>91</v>
      </c>
      <c r="B22" s="105" t="s">
        <v>182</v>
      </c>
      <c r="C22" s="91">
        <f t="shared" si="0"/>
        <v>70000</v>
      </c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7"/>
      <c r="AD22" s="108">
        <f t="shared" si="1"/>
        <v>70000</v>
      </c>
      <c r="AE22" s="109">
        <v>70000</v>
      </c>
      <c r="AF22" s="111"/>
      <c r="AG22" s="80">
        <f t="shared" si="2"/>
        <v>0</v>
      </c>
    </row>
    <row r="23" spans="1:33" ht="27.75">
      <c r="A23" s="21" t="s">
        <v>92</v>
      </c>
      <c r="B23" s="105" t="s">
        <v>183</v>
      </c>
      <c r="C23" s="91">
        <f t="shared" si="0"/>
        <v>70000</v>
      </c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7"/>
      <c r="AD23" s="108">
        <f t="shared" si="1"/>
        <v>70000</v>
      </c>
      <c r="AE23" s="109">
        <v>70000</v>
      </c>
      <c r="AF23" s="111"/>
      <c r="AG23" s="80">
        <f t="shared" si="2"/>
        <v>0</v>
      </c>
    </row>
    <row r="24" spans="1:33" ht="27.75">
      <c r="A24" s="21" t="s">
        <v>93</v>
      </c>
      <c r="B24" s="105" t="s">
        <v>184</v>
      </c>
      <c r="C24" s="91">
        <f t="shared" si="0"/>
        <v>250000</v>
      </c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7"/>
      <c r="AD24" s="108">
        <f t="shared" si="1"/>
        <v>250000</v>
      </c>
      <c r="AE24" s="109">
        <v>250000</v>
      </c>
      <c r="AF24" s="111"/>
      <c r="AG24" s="80">
        <f t="shared" si="2"/>
        <v>0</v>
      </c>
    </row>
    <row r="25" spans="1:33" ht="27.75">
      <c r="A25" s="21" t="s">
        <v>94</v>
      </c>
      <c r="B25" s="105" t="s">
        <v>185</v>
      </c>
      <c r="C25" s="91">
        <f t="shared" si="0"/>
        <v>250000</v>
      </c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7"/>
      <c r="AD25" s="108">
        <f t="shared" si="1"/>
        <v>250000</v>
      </c>
      <c r="AE25" s="109">
        <v>250000</v>
      </c>
      <c r="AF25" s="111"/>
      <c r="AG25" s="80">
        <f t="shared" si="2"/>
        <v>0</v>
      </c>
    </row>
    <row r="26" spans="1:33" ht="27.75">
      <c r="A26" s="21" t="s">
        <v>95</v>
      </c>
      <c r="B26" s="105" t="s">
        <v>186</v>
      </c>
      <c r="C26" s="91">
        <f t="shared" si="0"/>
        <v>150000</v>
      </c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7"/>
      <c r="AD26" s="108">
        <f t="shared" si="1"/>
        <v>150000</v>
      </c>
      <c r="AE26" s="109">
        <v>150000</v>
      </c>
      <c r="AF26" s="111"/>
      <c r="AG26" s="80">
        <f t="shared" si="2"/>
        <v>0</v>
      </c>
    </row>
    <row r="27" spans="1:33" ht="27.75">
      <c r="A27" s="21" t="s">
        <v>96</v>
      </c>
      <c r="B27" s="105" t="s">
        <v>171</v>
      </c>
      <c r="C27" s="91">
        <f t="shared" si="0"/>
        <v>1300000</v>
      </c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7"/>
      <c r="AD27" s="108">
        <f t="shared" si="1"/>
        <v>1300000</v>
      </c>
      <c r="AE27" s="109">
        <v>1300000</v>
      </c>
      <c r="AF27" s="110">
        <f>48851+614686</f>
        <v>663537</v>
      </c>
      <c r="AG27" s="80">
        <f t="shared" si="2"/>
        <v>51.04130769230769</v>
      </c>
    </row>
    <row r="28" spans="1:33" ht="27.75">
      <c r="A28" s="21" t="s">
        <v>97</v>
      </c>
      <c r="B28" s="105" t="s">
        <v>174</v>
      </c>
      <c r="C28" s="91">
        <f t="shared" si="0"/>
        <v>1300000</v>
      </c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7"/>
      <c r="AD28" s="108">
        <f t="shared" si="1"/>
        <v>1300000</v>
      </c>
      <c r="AE28" s="109">
        <v>1300000</v>
      </c>
      <c r="AF28" s="110">
        <v>48851</v>
      </c>
      <c r="AG28" s="80">
        <f t="shared" si="2"/>
        <v>3.7577692307692305</v>
      </c>
    </row>
    <row r="29" spans="1:33" ht="27.75">
      <c r="A29" s="21" t="s">
        <v>98</v>
      </c>
      <c r="B29" s="105" t="s">
        <v>78</v>
      </c>
      <c r="C29" s="91">
        <f t="shared" si="0"/>
        <v>100000</v>
      </c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7"/>
      <c r="AD29" s="108">
        <f t="shared" si="1"/>
        <v>100000</v>
      </c>
      <c r="AE29" s="109">
        <v>100000</v>
      </c>
      <c r="AF29" s="110"/>
      <c r="AG29" s="80">
        <f t="shared" si="2"/>
        <v>0</v>
      </c>
    </row>
    <row r="30" spans="1:33" ht="27.75">
      <c r="A30" s="21" t="s">
        <v>99</v>
      </c>
      <c r="B30" s="105" t="s">
        <v>136</v>
      </c>
      <c r="C30" s="91">
        <f t="shared" si="0"/>
        <v>100000</v>
      </c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7"/>
      <c r="AD30" s="108">
        <f t="shared" si="1"/>
        <v>100000</v>
      </c>
      <c r="AE30" s="109">
        <v>100000</v>
      </c>
      <c r="AF30" s="110"/>
      <c r="AG30" s="80">
        <f t="shared" si="2"/>
        <v>0</v>
      </c>
    </row>
    <row r="31" spans="1:33" ht="27.75">
      <c r="A31" s="21" t="s">
        <v>100</v>
      </c>
      <c r="B31" s="105" t="s">
        <v>187</v>
      </c>
      <c r="C31" s="91">
        <f t="shared" si="0"/>
        <v>70000</v>
      </c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7"/>
      <c r="AD31" s="108">
        <f t="shared" si="1"/>
        <v>70000</v>
      </c>
      <c r="AE31" s="109">
        <v>70000</v>
      </c>
      <c r="AF31" s="111"/>
      <c r="AG31" s="80">
        <f t="shared" si="2"/>
        <v>0</v>
      </c>
    </row>
    <row r="32" spans="1:33" ht="27.75">
      <c r="A32" s="21" t="s">
        <v>101</v>
      </c>
      <c r="B32" s="105" t="s">
        <v>79</v>
      </c>
      <c r="C32" s="91">
        <f t="shared" si="0"/>
        <v>70000</v>
      </c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7"/>
      <c r="AD32" s="108">
        <f t="shared" si="1"/>
        <v>70000</v>
      </c>
      <c r="AE32" s="109">
        <v>70000</v>
      </c>
      <c r="AF32" s="111"/>
      <c r="AG32" s="80">
        <f t="shared" si="2"/>
        <v>0</v>
      </c>
    </row>
    <row r="33" spans="1:33" ht="27.75">
      <c r="A33" s="21" t="s">
        <v>102</v>
      </c>
      <c r="B33" s="105" t="s">
        <v>80</v>
      </c>
      <c r="C33" s="91">
        <f t="shared" si="0"/>
        <v>50000</v>
      </c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7"/>
      <c r="AD33" s="108">
        <f t="shared" si="1"/>
        <v>50000</v>
      </c>
      <c r="AE33" s="109">
        <v>50000</v>
      </c>
      <c r="AF33" s="111"/>
      <c r="AG33" s="80">
        <f t="shared" si="2"/>
        <v>0</v>
      </c>
    </row>
    <row r="34" spans="1:33" ht="27.75">
      <c r="A34" s="21" t="s">
        <v>103</v>
      </c>
      <c r="B34" s="105" t="s">
        <v>81</v>
      </c>
      <c r="C34" s="91">
        <f t="shared" si="0"/>
        <v>550000</v>
      </c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7"/>
      <c r="AD34" s="108">
        <f t="shared" si="1"/>
        <v>550000</v>
      </c>
      <c r="AE34" s="109">
        <v>550000</v>
      </c>
      <c r="AF34" s="111"/>
      <c r="AG34" s="80">
        <f t="shared" si="2"/>
        <v>0</v>
      </c>
    </row>
    <row r="35" spans="1:33" ht="27.75">
      <c r="A35" s="21" t="s">
        <v>104</v>
      </c>
      <c r="B35" s="105" t="s">
        <v>82</v>
      </c>
      <c r="C35" s="91">
        <f t="shared" si="0"/>
        <v>721000</v>
      </c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7"/>
      <c r="AD35" s="108">
        <f t="shared" si="1"/>
        <v>721000</v>
      </c>
      <c r="AE35" s="109">
        <v>721000</v>
      </c>
      <c r="AF35" s="110">
        <v>12310</v>
      </c>
      <c r="AG35" s="80">
        <f t="shared" si="2"/>
        <v>1.707350901525659</v>
      </c>
    </row>
    <row r="36" spans="1:33" ht="27.75">
      <c r="A36" s="21" t="s">
        <v>105</v>
      </c>
      <c r="B36" s="105" t="s">
        <v>188</v>
      </c>
      <c r="C36" s="91">
        <f t="shared" si="0"/>
        <v>70000</v>
      </c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7"/>
      <c r="AD36" s="108">
        <f t="shared" si="1"/>
        <v>70000</v>
      </c>
      <c r="AE36" s="109">
        <v>70000</v>
      </c>
      <c r="AF36" s="111"/>
      <c r="AG36" s="80">
        <f t="shared" si="2"/>
        <v>0</v>
      </c>
    </row>
    <row r="37" spans="1:33" ht="27.75">
      <c r="A37" s="21" t="s">
        <v>106</v>
      </c>
      <c r="B37" s="105" t="s">
        <v>189</v>
      </c>
      <c r="C37" s="91">
        <f t="shared" si="0"/>
        <v>40000</v>
      </c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7"/>
      <c r="AD37" s="108">
        <f t="shared" si="1"/>
        <v>40000</v>
      </c>
      <c r="AE37" s="109">
        <v>40000</v>
      </c>
      <c r="AF37" s="110"/>
      <c r="AG37" s="80">
        <f t="shared" si="2"/>
        <v>0</v>
      </c>
    </row>
    <row r="38" spans="1:33" ht="27.75">
      <c r="A38" s="21" t="s">
        <v>107</v>
      </c>
      <c r="B38" s="112" t="s">
        <v>190</v>
      </c>
      <c r="C38" s="91">
        <f t="shared" si="0"/>
        <v>250000</v>
      </c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7"/>
      <c r="AD38" s="108">
        <f t="shared" si="1"/>
        <v>250000</v>
      </c>
      <c r="AE38" s="109">
        <v>250000</v>
      </c>
      <c r="AF38" s="110"/>
      <c r="AG38" s="80">
        <f t="shared" si="2"/>
        <v>0</v>
      </c>
    </row>
    <row r="39" spans="1:33" ht="27.75">
      <c r="A39" s="21" t="s">
        <v>108</v>
      </c>
      <c r="B39" s="113" t="s">
        <v>191</v>
      </c>
      <c r="C39" s="91">
        <f t="shared" si="0"/>
        <v>250000</v>
      </c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7"/>
      <c r="AD39" s="108">
        <f t="shared" si="1"/>
        <v>250000</v>
      </c>
      <c r="AE39" s="109">
        <v>250000</v>
      </c>
      <c r="AF39" s="110"/>
      <c r="AG39" s="80">
        <f t="shared" si="2"/>
        <v>0</v>
      </c>
    </row>
    <row r="40" spans="1:33" ht="27.75">
      <c r="A40" s="21" t="s">
        <v>109</v>
      </c>
      <c r="B40" s="114" t="s">
        <v>192</v>
      </c>
      <c r="C40" s="91">
        <f t="shared" si="0"/>
        <v>150000</v>
      </c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7"/>
      <c r="AD40" s="108">
        <f t="shared" si="1"/>
        <v>150000</v>
      </c>
      <c r="AE40" s="109">
        <v>150000</v>
      </c>
      <c r="AF40" s="110"/>
      <c r="AG40" s="80">
        <f t="shared" si="2"/>
        <v>0</v>
      </c>
    </row>
    <row r="41" spans="1:33" ht="27.75">
      <c r="A41" s="21" t="s">
        <v>150</v>
      </c>
      <c r="B41" s="114" t="s">
        <v>193</v>
      </c>
      <c r="C41" s="91">
        <f t="shared" si="0"/>
        <v>70000</v>
      </c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7"/>
      <c r="AD41" s="108">
        <f t="shared" si="1"/>
        <v>70000</v>
      </c>
      <c r="AE41" s="109">
        <v>70000</v>
      </c>
      <c r="AF41" s="111"/>
      <c r="AG41" s="80">
        <f t="shared" si="2"/>
        <v>0</v>
      </c>
    </row>
    <row r="42" spans="1:33" ht="27.75">
      <c r="A42" s="21" t="s">
        <v>151</v>
      </c>
      <c r="B42" s="114" t="s">
        <v>194</v>
      </c>
      <c r="C42" s="91">
        <f t="shared" si="0"/>
        <v>250000</v>
      </c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7"/>
      <c r="AD42" s="108">
        <f t="shared" si="1"/>
        <v>250000</v>
      </c>
      <c r="AE42" s="109">
        <v>250000</v>
      </c>
      <c r="AF42" s="111"/>
      <c r="AG42" s="80">
        <f t="shared" si="2"/>
        <v>0</v>
      </c>
    </row>
    <row r="43" spans="1:33" ht="27.75">
      <c r="A43" s="21" t="s">
        <v>152</v>
      </c>
      <c r="B43" s="114" t="s">
        <v>195</v>
      </c>
      <c r="C43" s="91">
        <f t="shared" si="0"/>
        <v>250000</v>
      </c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7"/>
      <c r="AD43" s="108">
        <f t="shared" si="1"/>
        <v>250000</v>
      </c>
      <c r="AE43" s="109">
        <v>250000</v>
      </c>
      <c r="AF43" s="111"/>
      <c r="AG43" s="80">
        <f t="shared" si="2"/>
        <v>0</v>
      </c>
    </row>
    <row r="44" spans="1:33" ht="27.75">
      <c r="A44" s="21" t="s">
        <v>153</v>
      </c>
      <c r="B44" s="114" t="s">
        <v>83</v>
      </c>
      <c r="C44" s="91">
        <f t="shared" si="0"/>
        <v>89529.4</v>
      </c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7"/>
      <c r="AD44" s="108">
        <f t="shared" si="1"/>
        <v>89529.4</v>
      </c>
      <c r="AE44" s="109">
        <v>89529.4</v>
      </c>
      <c r="AF44" s="110">
        <v>42652.16</v>
      </c>
      <c r="AG44" s="80">
        <f t="shared" si="2"/>
        <v>47.640395222128156</v>
      </c>
    </row>
    <row r="45" spans="1:33" ht="27.75">
      <c r="A45" s="21" t="s">
        <v>154</v>
      </c>
      <c r="B45" s="114" t="s">
        <v>164</v>
      </c>
      <c r="C45" s="91">
        <f t="shared" si="0"/>
        <v>259290.01</v>
      </c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7"/>
      <c r="AD45" s="108">
        <f t="shared" si="1"/>
        <v>259290.01</v>
      </c>
      <c r="AE45" s="109">
        <v>259290.01</v>
      </c>
      <c r="AF45" s="110">
        <v>150000</v>
      </c>
      <c r="AG45" s="80">
        <f t="shared" si="2"/>
        <v>57.850281235285536</v>
      </c>
    </row>
    <row r="46" spans="1:33" ht="27.75">
      <c r="A46" s="21" t="s">
        <v>155</v>
      </c>
      <c r="B46" s="114" t="s">
        <v>140</v>
      </c>
      <c r="C46" s="91">
        <f t="shared" si="0"/>
        <v>89529.4</v>
      </c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7"/>
      <c r="AD46" s="108">
        <f t="shared" si="1"/>
        <v>89529.4</v>
      </c>
      <c r="AE46" s="109">
        <v>89529.4</v>
      </c>
      <c r="AF46" s="110">
        <v>46059.44</v>
      </c>
      <c r="AG46" s="80">
        <f t="shared" si="2"/>
        <v>51.44616181946936</v>
      </c>
    </row>
    <row r="47" spans="1:33" ht="27.75">
      <c r="A47" s="21" t="s">
        <v>156</v>
      </c>
      <c r="B47" s="115" t="s">
        <v>141</v>
      </c>
      <c r="C47" s="91">
        <f t="shared" si="0"/>
        <v>68183.04</v>
      </c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7"/>
      <c r="AD47" s="108">
        <f t="shared" si="1"/>
        <v>68183.04</v>
      </c>
      <c r="AE47" s="109">
        <v>68183.04</v>
      </c>
      <c r="AF47" s="111"/>
      <c r="AG47" s="80">
        <f t="shared" si="2"/>
        <v>0</v>
      </c>
    </row>
    <row r="48" spans="1:33" ht="27.75">
      <c r="A48" s="21" t="s">
        <v>157</v>
      </c>
      <c r="B48" s="114" t="s">
        <v>196</v>
      </c>
      <c r="C48" s="91">
        <f t="shared" si="0"/>
        <v>68183.04</v>
      </c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7"/>
      <c r="AD48" s="108">
        <f t="shared" si="1"/>
        <v>68183.04</v>
      </c>
      <c r="AE48" s="109">
        <v>68183.04</v>
      </c>
      <c r="AF48" s="111"/>
      <c r="AG48" s="80">
        <f t="shared" si="2"/>
        <v>0</v>
      </c>
    </row>
    <row r="49" spans="1:33" ht="27.75">
      <c r="A49" s="21" t="s">
        <v>158</v>
      </c>
      <c r="B49" s="114" t="s">
        <v>197</v>
      </c>
      <c r="C49" s="91">
        <f t="shared" si="0"/>
        <v>12000</v>
      </c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7"/>
      <c r="AD49" s="108">
        <f t="shared" si="1"/>
        <v>12000</v>
      </c>
      <c r="AE49" s="109">
        <v>12000</v>
      </c>
      <c r="AF49" s="111"/>
      <c r="AG49" s="80">
        <f aca="true" t="shared" si="3" ref="AG49:AG54">AF49/C49*100</f>
        <v>0</v>
      </c>
    </row>
    <row r="50" spans="1:33" ht="27.75">
      <c r="A50" s="21" t="s">
        <v>159</v>
      </c>
      <c r="B50" s="114" t="s">
        <v>142</v>
      </c>
      <c r="C50" s="91">
        <f t="shared" si="0"/>
        <v>6000</v>
      </c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7"/>
      <c r="AD50" s="108">
        <f t="shared" si="1"/>
        <v>6000</v>
      </c>
      <c r="AE50" s="109">
        <v>6000</v>
      </c>
      <c r="AF50" s="111"/>
      <c r="AG50" s="80">
        <f t="shared" si="3"/>
        <v>0</v>
      </c>
    </row>
    <row r="51" spans="1:33" ht="27.75">
      <c r="A51" s="21" t="s">
        <v>160</v>
      </c>
      <c r="B51" s="114" t="s">
        <v>143</v>
      </c>
      <c r="C51" s="91">
        <f t="shared" si="0"/>
        <v>12500</v>
      </c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7"/>
      <c r="AD51" s="108">
        <f t="shared" si="1"/>
        <v>12500</v>
      </c>
      <c r="AE51" s="109">
        <v>12500</v>
      </c>
      <c r="AF51" s="111"/>
      <c r="AG51" s="80">
        <f t="shared" si="3"/>
        <v>0</v>
      </c>
    </row>
    <row r="52" spans="1:33" ht="30.75">
      <c r="A52" s="21" t="s">
        <v>161</v>
      </c>
      <c r="B52" s="116" t="s">
        <v>144</v>
      </c>
      <c r="C52" s="91">
        <f t="shared" si="0"/>
        <v>6000</v>
      </c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7"/>
      <c r="AD52" s="108">
        <f t="shared" si="1"/>
        <v>6000</v>
      </c>
      <c r="AE52" s="109">
        <v>6000</v>
      </c>
      <c r="AF52" s="111"/>
      <c r="AG52" s="80">
        <f t="shared" si="3"/>
        <v>0</v>
      </c>
    </row>
    <row r="53" spans="1:33" ht="30.75">
      <c r="A53" s="21" t="s">
        <v>162</v>
      </c>
      <c r="B53" s="116" t="s">
        <v>198</v>
      </c>
      <c r="C53" s="91">
        <f t="shared" si="0"/>
        <v>150000</v>
      </c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7"/>
      <c r="AD53" s="108">
        <f t="shared" si="1"/>
        <v>150000</v>
      </c>
      <c r="AE53" s="109">
        <v>150000</v>
      </c>
      <c r="AF53" s="111"/>
      <c r="AG53" s="80">
        <f t="shared" si="3"/>
        <v>0</v>
      </c>
    </row>
    <row r="54" spans="1:33" ht="27.75">
      <c r="A54" s="21" t="s">
        <v>165</v>
      </c>
      <c r="B54" s="117" t="s">
        <v>145</v>
      </c>
      <c r="C54" s="91">
        <f t="shared" si="0"/>
        <v>67823.44</v>
      </c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7"/>
      <c r="AD54" s="108">
        <f t="shared" si="1"/>
        <v>67823.44</v>
      </c>
      <c r="AE54" s="109">
        <v>67823.44</v>
      </c>
      <c r="AF54" s="111"/>
      <c r="AG54" s="80">
        <f t="shared" si="3"/>
        <v>0</v>
      </c>
    </row>
    <row r="55" spans="1:33" ht="27.75">
      <c r="A55" s="21" t="s">
        <v>199</v>
      </c>
      <c r="B55" s="117" t="s">
        <v>200</v>
      </c>
      <c r="C55" s="91">
        <f t="shared" si="0"/>
        <v>110000</v>
      </c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7"/>
      <c r="AD55" s="108">
        <f t="shared" si="1"/>
        <v>110000</v>
      </c>
      <c r="AE55" s="109">
        <v>110000</v>
      </c>
      <c r="AF55" s="111"/>
      <c r="AG55" s="80">
        <f aca="true" t="shared" si="4" ref="AG55:AG65">AF55/C55*100</f>
        <v>0</v>
      </c>
    </row>
    <row r="56" spans="1:33" ht="27.75">
      <c r="A56" s="21" t="s">
        <v>201</v>
      </c>
      <c r="B56" s="117" t="s">
        <v>146</v>
      </c>
      <c r="C56" s="91">
        <f t="shared" si="0"/>
        <v>110473.24</v>
      </c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7"/>
      <c r="AD56" s="108">
        <f t="shared" si="1"/>
        <v>110473.24</v>
      </c>
      <c r="AE56" s="109">
        <v>110473.24</v>
      </c>
      <c r="AF56" s="111"/>
      <c r="AG56" s="80">
        <f t="shared" si="4"/>
        <v>0</v>
      </c>
    </row>
    <row r="57" spans="1:33" ht="27.75">
      <c r="A57" s="21" t="s">
        <v>202</v>
      </c>
      <c r="B57" s="117" t="s">
        <v>147</v>
      </c>
      <c r="C57" s="91">
        <f t="shared" si="0"/>
        <v>37506.28</v>
      </c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7"/>
      <c r="AD57" s="108">
        <f t="shared" si="1"/>
        <v>37506.28</v>
      </c>
      <c r="AE57" s="109">
        <v>37506.28</v>
      </c>
      <c r="AF57" s="111"/>
      <c r="AG57" s="80">
        <f t="shared" si="4"/>
        <v>0</v>
      </c>
    </row>
    <row r="58" spans="1:33" ht="27.75">
      <c r="A58" s="21" t="s">
        <v>203</v>
      </c>
      <c r="B58" s="117" t="s">
        <v>204</v>
      </c>
      <c r="C58" s="91">
        <f t="shared" si="0"/>
        <v>70000</v>
      </c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7"/>
      <c r="AD58" s="108">
        <f t="shared" si="1"/>
        <v>70000</v>
      </c>
      <c r="AE58" s="109">
        <v>70000</v>
      </c>
      <c r="AF58" s="111"/>
      <c r="AG58" s="80">
        <f t="shared" si="4"/>
        <v>0</v>
      </c>
    </row>
    <row r="59" spans="1:33" ht="27.75">
      <c r="A59" s="21" t="s">
        <v>205</v>
      </c>
      <c r="B59" s="117" t="s">
        <v>148</v>
      </c>
      <c r="C59" s="91">
        <f t="shared" si="0"/>
        <v>2700</v>
      </c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7"/>
      <c r="AD59" s="108">
        <f t="shared" si="1"/>
        <v>2700</v>
      </c>
      <c r="AE59" s="109">
        <v>2700</v>
      </c>
      <c r="AF59" s="111"/>
      <c r="AG59" s="80">
        <f t="shared" si="4"/>
        <v>0</v>
      </c>
    </row>
    <row r="60" spans="1:33" ht="27.75">
      <c r="A60" s="21" t="s">
        <v>206</v>
      </c>
      <c r="B60" s="117" t="s">
        <v>149</v>
      </c>
      <c r="C60" s="91">
        <f t="shared" si="0"/>
        <v>3500</v>
      </c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7"/>
      <c r="AD60" s="108">
        <f t="shared" si="1"/>
        <v>3500</v>
      </c>
      <c r="AE60" s="109">
        <v>3500</v>
      </c>
      <c r="AF60" s="111"/>
      <c r="AG60" s="80">
        <f t="shared" si="4"/>
        <v>0</v>
      </c>
    </row>
    <row r="61" spans="1:33" ht="27.75">
      <c r="A61" s="21" t="s">
        <v>207</v>
      </c>
      <c r="B61" s="117" t="s">
        <v>208</v>
      </c>
      <c r="C61" s="91">
        <f t="shared" si="0"/>
        <v>200000</v>
      </c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7"/>
      <c r="AD61" s="108">
        <f t="shared" si="1"/>
        <v>200000</v>
      </c>
      <c r="AE61" s="109">
        <v>200000</v>
      </c>
      <c r="AF61" s="111"/>
      <c r="AG61" s="80">
        <f t="shared" si="4"/>
        <v>0</v>
      </c>
    </row>
    <row r="62" spans="1:33" ht="27.75">
      <c r="A62" s="21" t="s">
        <v>209</v>
      </c>
      <c r="B62" s="117" t="s">
        <v>210</v>
      </c>
      <c r="C62" s="91">
        <f t="shared" si="0"/>
        <v>350000</v>
      </c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7"/>
      <c r="AD62" s="108">
        <f t="shared" si="1"/>
        <v>350000</v>
      </c>
      <c r="AE62" s="109">
        <v>350000</v>
      </c>
      <c r="AF62" s="111"/>
      <c r="AG62" s="80">
        <f t="shared" si="4"/>
        <v>0</v>
      </c>
    </row>
    <row r="63" spans="1:33" ht="27.75">
      <c r="A63" s="21" t="s">
        <v>211</v>
      </c>
      <c r="B63" s="117" t="s">
        <v>166</v>
      </c>
      <c r="C63" s="91">
        <f t="shared" si="0"/>
        <v>200000</v>
      </c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7"/>
      <c r="AD63" s="108">
        <f t="shared" si="1"/>
        <v>200000</v>
      </c>
      <c r="AE63" s="109">
        <v>200000</v>
      </c>
      <c r="AF63" s="111"/>
      <c r="AG63" s="80">
        <f t="shared" si="4"/>
        <v>0</v>
      </c>
    </row>
    <row r="64" spans="1:33" ht="27.75">
      <c r="A64" s="21" t="s">
        <v>212</v>
      </c>
      <c r="B64" s="117" t="s">
        <v>167</v>
      </c>
      <c r="C64" s="91">
        <f t="shared" si="0"/>
        <v>200000</v>
      </c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7"/>
      <c r="AD64" s="108">
        <f t="shared" si="1"/>
        <v>200000</v>
      </c>
      <c r="AE64" s="109">
        <v>200000</v>
      </c>
      <c r="AF64" s="111"/>
      <c r="AG64" s="80">
        <f t="shared" si="4"/>
        <v>0</v>
      </c>
    </row>
    <row r="65" spans="1:33" ht="55.5">
      <c r="A65" s="21" t="s">
        <v>213</v>
      </c>
      <c r="B65" s="53" t="s">
        <v>214</v>
      </c>
      <c r="C65" s="39">
        <f t="shared" si="0"/>
        <v>5000000</v>
      </c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20"/>
      <c r="AD65" s="25">
        <f t="shared" si="1"/>
        <v>5000000</v>
      </c>
      <c r="AE65" s="83">
        <v>5000000</v>
      </c>
      <c r="AF65" s="118">
        <v>340914.2</v>
      </c>
      <c r="AG65" s="80">
        <f t="shared" si="4"/>
        <v>6.818284000000001</v>
      </c>
    </row>
    <row r="66" spans="1:33" ht="15">
      <c r="A66" s="28" t="s">
        <v>87</v>
      </c>
      <c r="B66" s="54" t="s">
        <v>131</v>
      </c>
      <c r="C66" s="41">
        <f>AD66</f>
        <v>7175000</v>
      </c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29"/>
      <c r="AD66" s="30">
        <f>AD67</f>
        <v>7175000</v>
      </c>
      <c r="AE66" s="65">
        <f>AD66</f>
        <v>7175000</v>
      </c>
      <c r="AF66" s="37">
        <f>AF67</f>
        <v>3047410.8</v>
      </c>
      <c r="AG66" s="78">
        <f t="shared" si="2"/>
        <v>42.4726243902439</v>
      </c>
    </row>
    <row r="67" spans="1:33" ht="55.5">
      <c r="A67" s="21" t="s">
        <v>110</v>
      </c>
      <c r="B67" s="52" t="s">
        <v>84</v>
      </c>
      <c r="C67" s="39">
        <f>AD67</f>
        <v>7175000</v>
      </c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20"/>
      <c r="AD67" s="26">
        <v>7175000</v>
      </c>
      <c r="AE67" s="66">
        <f>AD67</f>
        <v>7175000</v>
      </c>
      <c r="AF67" s="83">
        <v>3047410.8</v>
      </c>
      <c r="AG67" s="80">
        <f t="shared" si="2"/>
        <v>42.4726243902439</v>
      </c>
    </row>
    <row r="68" spans="1:33" ht="30">
      <c r="A68" s="28" t="s">
        <v>27</v>
      </c>
      <c r="B68" s="54" t="s">
        <v>132</v>
      </c>
      <c r="C68" s="41">
        <f>AD68</f>
        <v>2545000</v>
      </c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29"/>
      <c r="AD68" s="30">
        <f>AD69</f>
        <v>2545000</v>
      </c>
      <c r="AE68" s="65">
        <f>AD68</f>
        <v>2545000</v>
      </c>
      <c r="AF68" s="37">
        <f>BG68</f>
        <v>0</v>
      </c>
      <c r="AG68" s="78">
        <f t="shared" si="2"/>
        <v>0</v>
      </c>
    </row>
    <row r="69" spans="1:33" ht="42">
      <c r="A69" s="21" t="s">
        <v>54</v>
      </c>
      <c r="B69" s="52" t="s">
        <v>85</v>
      </c>
      <c r="C69" s="39">
        <f>AD69</f>
        <v>2545000</v>
      </c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20"/>
      <c r="AD69" s="26">
        <v>2545000</v>
      </c>
      <c r="AE69" s="66">
        <f>AD69</f>
        <v>2545000</v>
      </c>
      <c r="AF69" s="15"/>
      <c r="AG69" s="80">
        <f t="shared" si="2"/>
        <v>0</v>
      </c>
    </row>
    <row r="70" spans="1:33" s="3" customFormat="1" ht="29.25" customHeight="1">
      <c r="A70" s="23" t="s">
        <v>111</v>
      </c>
      <c r="B70" s="55" t="s">
        <v>23</v>
      </c>
      <c r="C70" s="41">
        <f>AC70+AD70</f>
        <v>48361502.5</v>
      </c>
      <c r="D70" s="41">
        <f aca="true" t="shared" si="5" ref="D70:AB70">D71+D78+D84+D88+D95+D103+D106+D111+D113+D116+D117+D120</f>
        <v>0</v>
      </c>
      <c r="E70" s="41">
        <f t="shared" si="5"/>
        <v>0</v>
      </c>
      <c r="F70" s="41">
        <f t="shared" si="5"/>
        <v>0</v>
      </c>
      <c r="G70" s="41">
        <f t="shared" si="5"/>
        <v>0</v>
      </c>
      <c r="H70" s="41">
        <f t="shared" si="5"/>
        <v>0</v>
      </c>
      <c r="I70" s="41">
        <f t="shared" si="5"/>
        <v>0</v>
      </c>
      <c r="J70" s="41">
        <f t="shared" si="5"/>
        <v>0</v>
      </c>
      <c r="K70" s="41">
        <f t="shared" si="5"/>
        <v>0</v>
      </c>
      <c r="L70" s="41">
        <f t="shared" si="5"/>
        <v>0</v>
      </c>
      <c r="M70" s="41">
        <f t="shared" si="5"/>
        <v>0</v>
      </c>
      <c r="N70" s="41">
        <f t="shared" si="5"/>
        <v>0</v>
      </c>
      <c r="O70" s="41">
        <f t="shared" si="5"/>
        <v>0</v>
      </c>
      <c r="P70" s="41">
        <f t="shared" si="5"/>
        <v>0</v>
      </c>
      <c r="Q70" s="41">
        <f t="shared" si="5"/>
        <v>0</v>
      </c>
      <c r="R70" s="41">
        <f t="shared" si="5"/>
        <v>0</v>
      </c>
      <c r="S70" s="41">
        <f t="shared" si="5"/>
        <v>0</v>
      </c>
      <c r="T70" s="41">
        <f t="shared" si="5"/>
        <v>0</v>
      </c>
      <c r="U70" s="41">
        <f t="shared" si="5"/>
        <v>0</v>
      </c>
      <c r="V70" s="41">
        <f t="shared" si="5"/>
        <v>0</v>
      </c>
      <c r="W70" s="41">
        <f t="shared" si="5"/>
        <v>0</v>
      </c>
      <c r="X70" s="41">
        <f t="shared" si="5"/>
        <v>0</v>
      </c>
      <c r="Y70" s="41">
        <f t="shared" si="5"/>
        <v>0</v>
      </c>
      <c r="Z70" s="41">
        <f t="shared" si="5"/>
        <v>0</v>
      </c>
      <c r="AA70" s="41">
        <f t="shared" si="5"/>
        <v>0</v>
      </c>
      <c r="AB70" s="41">
        <f t="shared" si="5"/>
        <v>0</v>
      </c>
      <c r="AC70" s="41">
        <f>AC71+AC78+AC84+AC88+AC95+AC103+AC106+AC111+AC113+AC116+AC117+AC120+AC123</f>
        <v>46161502.5</v>
      </c>
      <c r="AD70" s="35">
        <f>AE70</f>
        <v>2200000</v>
      </c>
      <c r="AE70" s="67">
        <f>AE95+AE106</f>
        <v>2200000</v>
      </c>
      <c r="AF70" s="41">
        <f>AF71+AF78+AF84+AF88+AF95+AF103+AF106+AF111+AF113+AF116+AF117+AF120+AF123</f>
        <v>20249824.37</v>
      </c>
      <c r="AG70" s="78">
        <f t="shared" si="2"/>
        <v>41.87178504224512</v>
      </c>
    </row>
    <row r="71" spans="1:33" ht="27.75">
      <c r="A71" s="9" t="s">
        <v>118</v>
      </c>
      <c r="B71" s="56" t="s">
        <v>18</v>
      </c>
      <c r="C71" s="42">
        <f>SUM(C72:C77)</f>
        <v>17834496.89</v>
      </c>
      <c r="D71" s="42">
        <f aca="true" t="shared" si="6" ref="D71:AB71">SUM(D72:D77)</f>
        <v>0</v>
      </c>
      <c r="E71" s="42">
        <f t="shared" si="6"/>
        <v>0</v>
      </c>
      <c r="F71" s="42">
        <f t="shared" si="6"/>
        <v>0</v>
      </c>
      <c r="G71" s="42">
        <f t="shared" si="6"/>
        <v>0</v>
      </c>
      <c r="H71" s="42">
        <f t="shared" si="6"/>
        <v>0</v>
      </c>
      <c r="I71" s="42">
        <f t="shared" si="6"/>
        <v>0</v>
      </c>
      <c r="J71" s="42">
        <f t="shared" si="6"/>
        <v>0</v>
      </c>
      <c r="K71" s="42">
        <f t="shared" si="6"/>
        <v>0</v>
      </c>
      <c r="L71" s="42">
        <f t="shared" si="6"/>
        <v>0</v>
      </c>
      <c r="M71" s="42">
        <f t="shared" si="6"/>
        <v>0</v>
      </c>
      <c r="N71" s="42">
        <f t="shared" si="6"/>
        <v>0</v>
      </c>
      <c r="O71" s="42">
        <f t="shared" si="6"/>
        <v>0</v>
      </c>
      <c r="P71" s="42">
        <f t="shared" si="6"/>
        <v>0</v>
      </c>
      <c r="Q71" s="42">
        <f t="shared" si="6"/>
        <v>0</v>
      </c>
      <c r="R71" s="42">
        <f t="shared" si="6"/>
        <v>0</v>
      </c>
      <c r="S71" s="42">
        <f t="shared" si="6"/>
        <v>0</v>
      </c>
      <c r="T71" s="42">
        <f t="shared" si="6"/>
        <v>0</v>
      </c>
      <c r="U71" s="42">
        <f t="shared" si="6"/>
        <v>0</v>
      </c>
      <c r="V71" s="42">
        <f t="shared" si="6"/>
        <v>0</v>
      </c>
      <c r="W71" s="42">
        <f t="shared" si="6"/>
        <v>0</v>
      </c>
      <c r="X71" s="42">
        <f t="shared" si="6"/>
        <v>0</v>
      </c>
      <c r="Y71" s="42">
        <f t="shared" si="6"/>
        <v>0</v>
      </c>
      <c r="Z71" s="42">
        <f t="shared" si="6"/>
        <v>0</v>
      </c>
      <c r="AA71" s="42">
        <f t="shared" si="6"/>
        <v>0</v>
      </c>
      <c r="AB71" s="42">
        <f t="shared" si="6"/>
        <v>0</v>
      </c>
      <c r="AC71" s="42">
        <f>C71</f>
        <v>17834496.89</v>
      </c>
      <c r="AD71" s="16"/>
      <c r="AE71" s="68"/>
      <c r="AF71" s="92">
        <f>SUM(AF72:AF77)</f>
        <v>8395880.8</v>
      </c>
      <c r="AG71" s="81">
        <f t="shared" si="2"/>
        <v>47.0766338505891</v>
      </c>
    </row>
    <row r="72" spans="1:33" ht="13.5">
      <c r="A72" s="9"/>
      <c r="B72" s="57" t="s">
        <v>65</v>
      </c>
      <c r="C72" s="43">
        <f>5410577-4100000-230979.51-80100-115500-144390</f>
        <v>739607.49</v>
      </c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3">
        <f aca="true" t="shared" si="7" ref="AC72:AC123">C72</f>
        <v>739607.49</v>
      </c>
      <c r="AD72" s="17"/>
      <c r="AE72" s="68"/>
      <c r="AF72" s="93">
        <v>711836.19</v>
      </c>
      <c r="AG72" s="82">
        <f t="shared" si="2"/>
        <v>96.24512996751831</v>
      </c>
    </row>
    <row r="73" spans="1:33" ht="27.75">
      <c r="A73" s="9"/>
      <c r="B73" s="57" t="s">
        <v>137</v>
      </c>
      <c r="C73" s="43">
        <f>4100000-50000</f>
        <v>4050000</v>
      </c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3">
        <f>C73</f>
        <v>4050000</v>
      </c>
      <c r="AD73" s="17"/>
      <c r="AE73" s="68"/>
      <c r="AF73" s="94">
        <f>455000+314965+130620+343290+97715</f>
        <v>1341590</v>
      </c>
      <c r="AG73" s="82">
        <f t="shared" si="2"/>
        <v>33.12567901234568</v>
      </c>
    </row>
    <row r="74" spans="1:33" ht="13.5">
      <c r="A74" s="9"/>
      <c r="B74" s="57" t="s">
        <v>64</v>
      </c>
      <c r="C74" s="43">
        <v>10280421</v>
      </c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3">
        <f t="shared" si="7"/>
        <v>10280421</v>
      </c>
      <c r="AD74" s="17"/>
      <c r="AE74" s="68"/>
      <c r="AF74" s="93">
        <f>2365770.77+938491.55+624657.88+597865.39+521903.53</f>
        <v>5048689.12</v>
      </c>
      <c r="AG74" s="82">
        <f t="shared" si="2"/>
        <v>49.10975066098947</v>
      </c>
    </row>
    <row r="75" spans="1:33" ht="27.75">
      <c r="A75" s="9"/>
      <c r="B75" s="57" t="s">
        <v>43</v>
      </c>
      <c r="C75" s="43">
        <f>652567+77756.4</f>
        <v>730323.4</v>
      </c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3">
        <f t="shared" si="7"/>
        <v>730323.4</v>
      </c>
      <c r="AD75" s="17"/>
      <c r="AE75" s="68"/>
      <c r="AF75" s="94">
        <f>46671+2500+4491+51671+51162+4491+2500+46671+4491+46671+4491+46671+5000+24687+4491</f>
        <v>346659</v>
      </c>
      <c r="AG75" s="82">
        <f t="shared" si="2"/>
        <v>47.46650593422037</v>
      </c>
    </row>
    <row r="76" spans="1:33" ht="27.75">
      <c r="A76" s="9"/>
      <c r="B76" s="57" t="s">
        <v>30</v>
      </c>
      <c r="C76" s="43">
        <f>672025.28+359929.72</f>
        <v>1031955</v>
      </c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3">
        <f t="shared" si="7"/>
        <v>1031955</v>
      </c>
      <c r="AD76" s="17"/>
      <c r="AE76" s="68"/>
      <c r="AF76" s="94">
        <f>124086+55244.7+44251+76234+44251+44251+38355</f>
        <v>426672.7</v>
      </c>
      <c r="AG76" s="82">
        <f t="shared" si="2"/>
        <v>41.34605675635081</v>
      </c>
    </row>
    <row r="77" spans="1:33" ht="13.5">
      <c r="A77" s="9"/>
      <c r="B77" s="57" t="s">
        <v>37</v>
      </c>
      <c r="C77" s="43">
        <v>1002190</v>
      </c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3">
        <f t="shared" si="7"/>
        <v>1002190</v>
      </c>
      <c r="AD77" s="17"/>
      <c r="AE77" s="68"/>
      <c r="AF77" s="93">
        <f>165541.2+86398.21+87668.42+90307.93+90518.03</f>
        <v>520433.79000000004</v>
      </c>
      <c r="AG77" s="82">
        <f t="shared" si="2"/>
        <v>51.929653059799044</v>
      </c>
    </row>
    <row r="78" spans="1:33" ht="13.5">
      <c r="A78" s="9" t="s">
        <v>119</v>
      </c>
      <c r="B78" s="56" t="s">
        <v>3</v>
      </c>
      <c r="C78" s="42">
        <f>SUM(C79:C83)</f>
        <v>7200846.1</v>
      </c>
      <c r="D78" s="42">
        <f aca="true" t="shared" si="8" ref="D78:AB78">SUM(D79:D83)</f>
        <v>0</v>
      </c>
      <c r="E78" s="42">
        <f t="shared" si="8"/>
        <v>0</v>
      </c>
      <c r="F78" s="42">
        <f t="shared" si="8"/>
        <v>0</v>
      </c>
      <c r="G78" s="42">
        <f t="shared" si="8"/>
        <v>0</v>
      </c>
      <c r="H78" s="42">
        <f t="shared" si="8"/>
        <v>0</v>
      </c>
      <c r="I78" s="42">
        <f t="shared" si="8"/>
        <v>0</v>
      </c>
      <c r="J78" s="42">
        <f t="shared" si="8"/>
        <v>0</v>
      </c>
      <c r="K78" s="42">
        <f t="shared" si="8"/>
        <v>0</v>
      </c>
      <c r="L78" s="42">
        <f t="shared" si="8"/>
        <v>0</v>
      </c>
      <c r="M78" s="42">
        <f t="shared" si="8"/>
        <v>0</v>
      </c>
      <c r="N78" s="42">
        <f t="shared" si="8"/>
        <v>0</v>
      </c>
      <c r="O78" s="42">
        <f t="shared" si="8"/>
        <v>0</v>
      </c>
      <c r="P78" s="42">
        <f t="shared" si="8"/>
        <v>0</v>
      </c>
      <c r="Q78" s="42">
        <f t="shared" si="8"/>
        <v>0</v>
      </c>
      <c r="R78" s="42">
        <f t="shared" si="8"/>
        <v>0</v>
      </c>
      <c r="S78" s="42">
        <f t="shared" si="8"/>
        <v>0</v>
      </c>
      <c r="T78" s="42">
        <f t="shared" si="8"/>
        <v>0</v>
      </c>
      <c r="U78" s="42">
        <f t="shared" si="8"/>
        <v>0</v>
      </c>
      <c r="V78" s="42">
        <f t="shared" si="8"/>
        <v>0</v>
      </c>
      <c r="W78" s="42">
        <f t="shared" si="8"/>
        <v>0</v>
      </c>
      <c r="X78" s="42">
        <f t="shared" si="8"/>
        <v>0</v>
      </c>
      <c r="Y78" s="42">
        <f t="shared" si="8"/>
        <v>0</v>
      </c>
      <c r="Z78" s="42">
        <f t="shared" si="8"/>
        <v>0</v>
      </c>
      <c r="AA78" s="42">
        <f t="shared" si="8"/>
        <v>0</v>
      </c>
      <c r="AB78" s="42">
        <f t="shared" si="8"/>
        <v>0</v>
      </c>
      <c r="AC78" s="42">
        <f t="shared" si="7"/>
        <v>7200846.1</v>
      </c>
      <c r="AD78" s="16"/>
      <c r="AE78" s="68"/>
      <c r="AF78" s="92">
        <f>SUM(AF79:AF83)</f>
        <v>3758350.19</v>
      </c>
      <c r="AG78" s="81">
        <f t="shared" si="2"/>
        <v>52.19317477150359</v>
      </c>
    </row>
    <row r="79" spans="1:33" ht="13.5">
      <c r="A79" s="9"/>
      <c r="B79" s="57" t="s">
        <v>38</v>
      </c>
      <c r="C79" s="43">
        <v>2402265.73</v>
      </c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3">
        <f t="shared" si="7"/>
        <v>2402265.73</v>
      </c>
      <c r="AD79" s="17"/>
      <c r="AE79" s="68"/>
      <c r="AF79" s="93">
        <f>195156+87000+174330+87000+260160</f>
        <v>803646</v>
      </c>
      <c r="AG79" s="82">
        <f t="shared" si="2"/>
        <v>33.45366792540474</v>
      </c>
    </row>
    <row r="80" spans="1:33" ht="13.5">
      <c r="A80" s="9"/>
      <c r="B80" s="57" t="s">
        <v>4</v>
      </c>
      <c r="C80" s="43">
        <v>380000</v>
      </c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3">
        <f t="shared" si="7"/>
        <v>380000</v>
      </c>
      <c r="AD80" s="17"/>
      <c r="AE80" s="68"/>
      <c r="AF80" s="93">
        <f>135000+33750+27090+11457+172700</f>
        <v>379997</v>
      </c>
      <c r="AG80" s="82">
        <f t="shared" si="2"/>
        <v>99.99921052631578</v>
      </c>
    </row>
    <row r="81" spans="1:33" ht="13.5">
      <c r="A81" s="9"/>
      <c r="B81" s="57" t="s">
        <v>39</v>
      </c>
      <c r="C81" s="43">
        <v>200000</v>
      </c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3">
        <f t="shared" si="7"/>
        <v>200000</v>
      </c>
      <c r="AD81" s="17"/>
      <c r="AE81" s="68"/>
      <c r="AF81" s="93">
        <f>33207.3+33207.3</f>
        <v>66414.6</v>
      </c>
      <c r="AG81" s="82">
        <f t="shared" si="2"/>
        <v>33.207300000000004</v>
      </c>
    </row>
    <row r="82" spans="1:33" ht="13.5">
      <c r="A82" s="9"/>
      <c r="B82" s="57" t="s">
        <v>40</v>
      </c>
      <c r="C82" s="43">
        <v>291480.84</v>
      </c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3">
        <f t="shared" si="7"/>
        <v>291480.84</v>
      </c>
      <c r="AD82" s="17"/>
      <c r="AE82" s="68"/>
      <c r="AF82" s="93">
        <f>45550+62000+60735+53619.08</f>
        <v>221904.08000000002</v>
      </c>
      <c r="AG82" s="82">
        <f aca="true" t="shared" si="9" ref="AG82:AG131">AF82/C82*100</f>
        <v>76.12990274077706</v>
      </c>
    </row>
    <row r="83" spans="1:33" ht="44.25" customHeight="1">
      <c r="A83" s="9"/>
      <c r="B83" s="57" t="s">
        <v>41</v>
      </c>
      <c r="C83" s="43">
        <v>3927099.53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3">
        <f t="shared" si="7"/>
        <v>3927099.53</v>
      </c>
      <c r="AD83" s="17"/>
      <c r="AE83" s="68"/>
      <c r="AF83" s="94">
        <f>1017646.61+44880+126065.55+74837.4+57228.6+90245.1+212678.65+329120+256886.6+76800</f>
        <v>2286388.51</v>
      </c>
      <c r="AG83" s="82">
        <f t="shared" si="9"/>
        <v>58.22079355345495</v>
      </c>
    </row>
    <row r="84" spans="1:33" ht="27.75">
      <c r="A84" s="9" t="s">
        <v>120</v>
      </c>
      <c r="B84" s="56" t="s">
        <v>5</v>
      </c>
      <c r="C84" s="42">
        <f>SUM(C85:C87)</f>
        <v>1849469.0899999999</v>
      </c>
      <c r="D84" s="42">
        <f aca="true" t="shared" si="10" ref="D84:AB84">SUM(D85:D87)</f>
        <v>0</v>
      </c>
      <c r="E84" s="42">
        <f t="shared" si="10"/>
        <v>0</v>
      </c>
      <c r="F84" s="42">
        <f t="shared" si="10"/>
        <v>0</v>
      </c>
      <c r="G84" s="42">
        <f t="shared" si="10"/>
        <v>0</v>
      </c>
      <c r="H84" s="42">
        <f t="shared" si="10"/>
        <v>0</v>
      </c>
      <c r="I84" s="42">
        <f t="shared" si="10"/>
        <v>0</v>
      </c>
      <c r="J84" s="42">
        <f t="shared" si="10"/>
        <v>0</v>
      </c>
      <c r="K84" s="42">
        <f t="shared" si="10"/>
        <v>0</v>
      </c>
      <c r="L84" s="42">
        <f t="shared" si="10"/>
        <v>0</v>
      </c>
      <c r="M84" s="42">
        <f t="shared" si="10"/>
        <v>0</v>
      </c>
      <c r="N84" s="42">
        <f t="shared" si="10"/>
        <v>0</v>
      </c>
      <c r="O84" s="42">
        <f t="shared" si="10"/>
        <v>0</v>
      </c>
      <c r="P84" s="42">
        <f t="shared" si="10"/>
        <v>0</v>
      </c>
      <c r="Q84" s="42">
        <f t="shared" si="10"/>
        <v>0</v>
      </c>
      <c r="R84" s="42">
        <f t="shared" si="10"/>
        <v>0</v>
      </c>
      <c r="S84" s="42">
        <f t="shared" si="10"/>
        <v>0</v>
      </c>
      <c r="T84" s="42">
        <f t="shared" si="10"/>
        <v>0</v>
      </c>
      <c r="U84" s="42">
        <f t="shared" si="10"/>
        <v>0</v>
      </c>
      <c r="V84" s="42">
        <f t="shared" si="10"/>
        <v>0</v>
      </c>
      <c r="W84" s="42">
        <f t="shared" si="10"/>
        <v>0</v>
      </c>
      <c r="X84" s="42">
        <f t="shared" si="10"/>
        <v>0</v>
      </c>
      <c r="Y84" s="42">
        <f t="shared" si="10"/>
        <v>0</v>
      </c>
      <c r="Z84" s="42">
        <f t="shared" si="10"/>
        <v>0</v>
      </c>
      <c r="AA84" s="42">
        <f t="shared" si="10"/>
        <v>0</v>
      </c>
      <c r="AB84" s="42">
        <f t="shared" si="10"/>
        <v>0</v>
      </c>
      <c r="AC84" s="42">
        <f t="shared" si="7"/>
        <v>1849469.0899999999</v>
      </c>
      <c r="AD84" s="16"/>
      <c r="AE84" s="68"/>
      <c r="AF84" s="92">
        <f>SUM(AF85:AF87)</f>
        <v>661996.62</v>
      </c>
      <c r="AG84" s="81">
        <f t="shared" si="9"/>
        <v>35.7938731487532</v>
      </c>
    </row>
    <row r="85" spans="1:33" ht="13.5">
      <c r="A85" s="9"/>
      <c r="B85" s="57" t="s">
        <v>56</v>
      </c>
      <c r="C85" s="43">
        <v>1271166</v>
      </c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3">
        <f t="shared" si="7"/>
        <v>1271166</v>
      </c>
      <c r="AD85" s="17"/>
      <c r="AE85" s="68"/>
      <c r="AF85" s="93">
        <f>581281.86-183335.28+134873.07</f>
        <v>532819.6499999999</v>
      </c>
      <c r="AG85" s="82">
        <f t="shared" si="9"/>
        <v>41.91581980638248</v>
      </c>
    </row>
    <row r="86" spans="1:33" ht="13.5">
      <c r="A86" s="9"/>
      <c r="B86" s="57" t="s">
        <v>57</v>
      </c>
      <c r="C86" s="43">
        <v>157394.69</v>
      </c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3">
        <f t="shared" si="7"/>
        <v>157394.69</v>
      </c>
      <c r="AD86" s="17"/>
      <c r="AE86" s="68"/>
      <c r="AF86" s="93">
        <f>32355.65+32355.65</f>
        <v>64711.3</v>
      </c>
      <c r="AG86" s="82">
        <f t="shared" si="9"/>
        <v>41.1140299586981</v>
      </c>
    </row>
    <row r="87" spans="1:33" ht="13.5">
      <c r="A87" s="9"/>
      <c r="B87" s="57" t="s">
        <v>58</v>
      </c>
      <c r="C87" s="43">
        <v>420908.4</v>
      </c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3">
        <f t="shared" si="7"/>
        <v>420908.4</v>
      </c>
      <c r="AD87" s="17"/>
      <c r="AE87" s="68"/>
      <c r="AF87" s="93">
        <f>31498.87+32966.8</f>
        <v>64465.67</v>
      </c>
      <c r="AG87" s="82">
        <f t="shared" si="9"/>
        <v>15.315843067042614</v>
      </c>
    </row>
    <row r="88" spans="1:33" ht="13.5">
      <c r="A88" s="9" t="s">
        <v>121</v>
      </c>
      <c r="B88" s="56" t="s">
        <v>42</v>
      </c>
      <c r="C88" s="42">
        <f>SUM(C89:C94)</f>
        <v>3348066.06</v>
      </c>
      <c r="D88" s="42">
        <f aca="true" t="shared" si="11" ref="D88:AB88">SUM(D89:D94)</f>
        <v>0</v>
      </c>
      <c r="E88" s="42">
        <f t="shared" si="11"/>
        <v>0</v>
      </c>
      <c r="F88" s="42">
        <f t="shared" si="11"/>
        <v>0</v>
      </c>
      <c r="G88" s="42">
        <f t="shared" si="11"/>
        <v>0</v>
      </c>
      <c r="H88" s="42">
        <f t="shared" si="11"/>
        <v>0</v>
      </c>
      <c r="I88" s="42">
        <f t="shared" si="11"/>
        <v>0</v>
      </c>
      <c r="J88" s="42">
        <f t="shared" si="11"/>
        <v>0</v>
      </c>
      <c r="K88" s="42">
        <f t="shared" si="11"/>
        <v>0</v>
      </c>
      <c r="L88" s="42">
        <f t="shared" si="11"/>
        <v>0</v>
      </c>
      <c r="M88" s="42">
        <f t="shared" si="11"/>
        <v>0</v>
      </c>
      <c r="N88" s="42">
        <f t="shared" si="11"/>
        <v>0</v>
      </c>
      <c r="O88" s="42">
        <f t="shared" si="11"/>
        <v>0</v>
      </c>
      <c r="P88" s="42">
        <f t="shared" si="11"/>
        <v>0</v>
      </c>
      <c r="Q88" s="42">
        <f t="shared" si="11"/>
        <v>0</v>
      </c>
      <c r="R88" s="42">
        <f t="shared" si="11"/>
        <v>0</v>
      </c>
      <c r="S88" s="42">
        <f t="shared" si="11"/>
        <v>0</v>
      </c>
      <c r="T88" s="42">
        <f t="shared" si="11"/>
        <v>0</v>
      </c>
      <c r="U88" s="42">
        <f t="shared" si="11"/>
        <v>0</v>
      </c>
      <c r="V88" s="42">
        <f t="shared" si="11"/>
        <v>0</v>
      </c>
      <c r="W88" s="42">
        <f t="shared" si="11"/>
        <v>0</v>
      </c>
      <c r="X88" s="42">
        <f t="shared" si="11"/>
        <v>0</v>
      </c>
      <c r="Y88" s="42">
        <f t="shared" si="11"/>
        <v>0</v>
      </c>
      <c r="Z88" s="42">
        <f t="shared" si="11"/>
        <v>0</v>
      </c>
      <c r="AA88" s="42">
        <f t="shared" si="11"/>
        <v>0</v>
      </c>
      <c r="AB88" s="42">
        <f t="shared" si="11"/>
        <v>0</v>
      </c>
      <c r="AC88" s="42">
        <f t="shared" si="7"/>
        <v>3348066.06</v>
      </c>
      <c r="AD88" s="16"/>
      <c r="AE88" s="68"/>
      <c r="AF88" s="92">
        <f>SUM(AF89:AF94)</f>
        <v>1303824.96</v>
      </c>
      <c r="AG88" s="80">
        <f t="shared" si="9"/>
        <v>38.942629465321836</v>
      </c>
    </row>
    <row r="89" spans="1:33" ht="27.75" customHeight="1">
      <c r="A89" s="9"/>
      <c r="B89" s="57" t="s">
        <v>8</v>
      </c>
      <c r="C89" s="43">
        <v>2415287.11</v>
      </c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3">
        <f t="shared" si="7"/>
        <v>2415287.11</v>
      </c>
      <c r="AD89" s="17"/>
      <c r="AE89" s="68"/>
      <c r="AF89" s="94">
        <f>125100.74+47588.76+8444.96+20315+4469.3+55353.01+9534.81+126000+58800+49000+25367.46+26574.36+47740.44+9503.36+21140.5+12730.85+1905+18522.5+4074.95+5850+46702.54+68970.2+13749.15</f>
        <v>807437.89</v>
      </c>
      <c r="AG89" s="80">
        <f t="shared" si="9"/>
        <v>33.4303067596796</v>
      </c>
    </row>
    <row r="90" spans="1:33" ht="46.5" customHeight="1">
      <c r="A90" s="9"/>
      <c r="B90" s="57" t="s">
        <v>9</v>
      </c>
      <c r="C90" s="43">
        <v>781200</v>
      </c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3">
        <f t="shared" si="7"/>
        <v>781200</v>
      </c>
      <c r="AD90" s="17"/>
      <c r="AE90" s="68"/>
      <c r="AF90" s="94">
        <f>129802.78+45117.28+9925.9+16132.5+3549.15+50156.48+11034.42+6420+19681.65+42614.5+9375.19+7351.6+8800+22346.5+4916.23+3005.6+40594.85+8930.87</f>
        <v>439755.49999999994</v>
      </c>
      <c r="AG90" s="82">
        <f t="shared" si="9"/>
        <v>56.29230670762928</v>
      </c>
    </row>
    <row r="91" spans="1:33" ht="33.75" customHeight="1">
      <c r="A91" s="9"/>
      <c r="B91" s="57" t="s">
        <v>175</v>
      </c>
      <c r="C91" s="43">
        <v>35000</v>
      </c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3">
        <f t="shared" si="7"/>
        <v>35000</v>
      </c>
      <c r="AD91" s="17"/>
      <c r="AE91" s="68"/>
      <c r="AF91" s="94">
        <v>34981</v>
      </c>
      <c r="AG91" s="82">
        <f t="shared" si="9"/>
        <v>99.94571428571429</v>
      </c>
    </row>
    <row r="92" spans="1:33" ht="24.75" customHeight="1">
      <c r="A92" s="9"/>
      <c r="B92" s="57" t="s">
        <v>176</v>
      </c>
      <c r="C92" s="43">
        <v>44778.95</v>
      </c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3">
        <f t="shared" si="7"/>
        <v>44778.95</v>
      </c>
      <c r="AD92" s="17"/>
      <c r="AE92" s="68"/>
      <c r="AF92" s="94"/>
      <c r="AG92" s="82">
        <f t="shared" si="9"/>
        <v>0</v>
      </c>
    </row>
    <row r="93" spans="1:33" ht="13.5">
      <c r="A93" s="9"/>
      <c r="B93" s="57" t="s">
        <v>59</v>
      </c>
      <c r="C93" s="43">
        <v>39700</v>
      </c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3">
        <f t="shared" si="7"/>
        <v>39700</v>
      </c>
      <c r="AD93" s="17"/>
      <c r="AE93" s="68"/>
      <c r="AF93" s="93">
        <f>7534.82+5001.66+5251.05</f>
        <v>17787.53</v>
      </c>
      <c r="AG93" s="82">
        <f t="shared" si="9"/>
        <v>44.80486146095718</v>
      </c>
    </row>
    <row r="94" spans="1:33" ht="13.5">
      <c r="A94" s="9"/>
      <c r="B94" s="57" t="s">
        <v>60</v>
      </c>
      <c r="C94" s="43">
        <v>32100</v>
      </c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3">
        <f t="shared" si="7"/>
        <v>32100</v>
      </c>
      <c r="AD94" s="34"/>
      <c r="AE94" s="69"/>
      <c r="AF94" s="93">
        <f>1230.14+830.15+486.74+512.5+803.51</f>
        <v>3863.04</v>
      </c>
      <c r="AG94" s="82">
        <f t="shared" si="9"/>
        <v>12.034392523364486</v>
      </c>
    </row>
    <row r="95" spans="1:33" ht="13.5">
      <c r="A95" s="9" t="s">
        <v>122</v>
      </c>
      <c r="B95" s="56" t="s">
        <v>6</v>
      </c>
      <c r="C95" s="42">
        <f>AC95+AD95</f>
        <v>2600000</v>
      </c>
      <c r="D95" s="42">
        <f aca="true" t="shared" si="12" ref="D95:AB95">SUM(D96:D102)</f>
        <v>0</v>
      </c>
      <c r="E95" s="42">
        <f t="shared" si="12"/>
        <v>0</v>
      </c>
      <c r="F95" s="42">
        <f t="shared" si="12"/>
        <v>0</v>
      </c>
      <c r="G95" s="42">
        <f t="shared" si="12"/>
        <v>0</v>
      </c>
      <c r="H95" s="42">
        <f t="shared" si="12"/>
        <v>0</v>
      </c>
      <c r="I95" s="42">
        <f t="shared" si="12"/>
        <v>0</v>
      </c>
      <c r="J95" s="42">
        <f t="shared" si="12"/>
        <v>0</v>
      </c>
      <c r="K95" s="42">
        <f t="shared" si="12"/>
        <v>0</v>
      </c>
      <c r="L95" s="42">
        <f t="shared" si="12"/>
        <v>0</v>
      </c>
      <c r="M95" s="42">
        <f t="shared" si="12"/>
        <v>0</v>
      </c>
      <c r="N95" s="42">
        <f t="shared" si="12"/>
        <v>0</v>
      </c>
      <c r="O95" s="42">
        <f t="shared" si="12"/>
        <v>0</v>
      </c>
      <c r="P95" s="42">
        <f t="shared" si="12"/>
        <v>0</v>
      </c>
      <c r="Q95" s="42">
        <f t="shared" si="12"/>
        <v>0</v>
      </c>
      <c r="R95" s="42">
        <f t="shared" si="12"/>
        <v>0</v>
      </c>
      <c r="S95" s="42">
        <f t="shared" si="12"/>
        <v>0</v>
      </c>
      <c r="T95" s="42">
        <f t="shared" si="12"/>
        <v>0</v>
      </c>
      <c r="U95" s="42">
        <f t="shared" si="12"/>
        <v>0</v>
      </c>
      <c r="V95" s="42">
        <f t="shared" si="12"/>
        <v>0</v>
      </c>
      <c r="W95" s="42">
        <f t="shared" si="12"/>
        <v>0</v>
      </c>
      <c r="X95" s="42">
        <f t="shared" si="12"/>
        <v>0</v>
      </c>
      <c r="Y95" s="42">
        <f t="shared" si="12"/>
        <v>0</v>
      </c>
      <c r="Z95" s="42">
        <f t="shared" si="12"/>
        <v>0</v>
      </c>
      <c r="AA95" s="42">
        <f t="shared" si="12"/>
        <v>0</v>
      </c>
      <c r="AB95" s="42">
        <f t="shared" si="12"/>
        <v>0</v>
      </c>
      <c r="AC95" s="42">
        <f>AC96+AC97+AC98+AC99</f>
        <v>1100000</v>
      </c>
      <c r="AD95" s="36">
        <f>AD96+AD97+AD98+AD99</f>
        <v>1500000</v>
      </c>
      <c r="AE95" s="70">
        <f>AD95</f>
        <v>1500000</v>
      </c>
      <c r="AF95" s="92">
        <f>AF99</f>
        <v>99727.2</v>
      </c>
      <c r="AG95" s="81">
        <f t="shared" si="9"/>
        <v>3.8356615384615385</v>
      </c>
    </row>
    <row r="96" spans="1:33" ht="13.5" hidden="1">
      <c r="A96" s="9"/>
      <c r="B96" s="57" t="s">
        <v>10</v>
      </c>
      <c r="C96" s="43">
        <f>19422023.54+229670.1-19000000-651693.64</f>
        <v>0</v>
      </c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3">
        <f t="shared" si="7"/>
        <v>0</v>
      </c>
      <c r="AD96" s="34"/>
      <c r="AE96" s="71"/>
      <c r="AF96" s="93"/>
      <c r="AG96" s="82" t="e">
        <f t="shared" si="9"/>
        <v>#DIV/0!</v>
      </c>
    </row>
    <row r="97" spans="1:33" ht="13.5">
      <c r="A97" s="9"/>
      <c r="B97" s="57" t="s">
        <v>7</v>
      </c>
      <c r="C97" s="43">
        <v>1000000</v>
      </c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3">
        <f>C97</f>
        <v>1000000</v>
      </c>
      <c r="AD97" s="34"/>
      <c r="AE97" s="71"/>
      <c r="AF97" s="93"/>
      <c r="AG97" s="82">
        <f t="shared" si="9"/>
        <v>0</v>
      </c>
    </row>
    <row r="98" spans="1:33" ht="13.5">
      <c r="A98" s="9"/>
      <c r="B98" s="58" t="s">
        <v>114</v>
      </c>
      <c r="C98" s="43">
        <f>AD98</f>
        <v>1500000</v>
      </c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3"/>
      <c r="AD98" s="45">
        <v>1500000</v>
      </c>
      <c r="AE98" s="72">
        <f>AD98</f>
        <v>1500000</v>
      </c>
      <c r="AF98" s="93"/>
      <c r="AG98" s="82">
        <f t="shared" si="9"/>
        <v>0</v>
      </c>
    </row>
    <row r="99" spans="1:33" ht="18" customHeight="1">
      <c r="A99" s="9"/>
      <c r="B99" s="59" t="s">
        <v>133</v>
      </c>
      <c r="C99" s="43">
        <f>AC99</f>
        <v>100000</v>
      </c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3">
        <v>100000</v>
      </c>
      <c r="AD99" s="34"/>
      <c r="AE99" s="71"/>
      <c r="AF99" s="93">
        <v>99727.2</v>
      </c>
      <c r="AG99" s="82">
        <f t="shared" si="9"/>
        <v>99.7272</v>
      </c>
    </row>
    <row r="100" spans="1:33" ht="13.5" customHeight="1" hidden="1">
      <c r="A100" s="9"/>
      <c r="B100" s="58"/>
      <c r="C100" s="43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3"/>
      <c r="AD100" s="45"/>
      <c r="AE100" s="72"/>
      <c r="AF100" s="95"/>
      <c r="AG100" s="82" t="e">
        <f t="shared" si="9"/>
        <v>#DIV/0!</v>
      </c>
    </row>
    <row r="101" spans="1:33" ht="14.25" customHeight="1" hidden="1" thickBot="1">
      <c r="A101" s="9"/>
      <c r="B101" s="57"/>
      <c r="C101" s="39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2">
        <f t="shared" si="7"/>
        <v>0</v>
      </c>
      <c r="AD101" s="46"/>
      <c r="AE101" s="69"/>
      <c r="AF101" s="95"/>
      <c r="AG101" s="82" t="e">
        <f t="shared" si="9"/>
        <v>#DIV/0!</v>
      </c>
    </row>
    <row r="102" spans="1:33" ht="13.5" customHeight="1" hidden="1">
      <c r="A102" s="9"/>
      <c r="B102" s="57"/>
      <c r="C102" s="39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2">
        <f t="shared" si="7"/>
        <v>0</v>
      </c>
      <c r="AD102" s="46"/>
      <c r="AE102" s="69"/>
      <c r="AF102" s="95"/>
      <c r="AG102" s="82" t="e">
        <f t="shared" si="9"/>
        <v>#DIV/0!</v>
      </c>
    </row>
    <row r="103" spans="1:33" ht="29.25" customHeight="1">
      <c r="A103" s="9" t="s">
        <v>123</v>
      </c>
      <c r="B103" s="56" t="s">
        <v>168</v>
      </c>
      <c r="C103" s="42">
        <f>SUM(C104:C105)</f>
        <v>331841.32</v>
      </c>
      <c r="D103" s="42">
        <f aca="true" t="shared" si="13" ref="D103:AB103">SUM(D104:D105)</f>
        <v>0</v>
      </c>
      <c r="E103" s="42">
        <f t="shared" si="13"/>
        <v>0</v>
      </c>
      <c r="F103" s="42">
        <f t="shared" si="13"/>
        <v>0</v>
      </c>
      <c r="G103" s="42">
        <f t="shared" si="13"/>
        <v>0</v>
      </c>
      <c r="H103" s="42">
        <f t="shared" si="13"/>
        <v>0</v>
      </c>
      <c r="I103" s="42">
        <f t="shared" si="13"/>
        <v>0</v>
      </c>
      <c r="J103" s="42">
        <f t="shared" si="13"/>
        <v>0</v>
      </c>
      <c r="K103" s="42">
        <f t="shared" si="13"/>
        <v>0</v>
      </c>
      <c r="L103" s="42">
        <f t="shared" si="13"/>
        <v>0</v>
      </c>
      <c r="M103" s="42">
        <f t="shared" si="13"/>
        <v>0</v>
      </c>
      <c r="N103" s="42">
        <f t="shared" si="13"/>
        <v>0</v>
      </c>
      <c r="O103" s="42">
        <f t="shared" si="13"/>
        <v>0</v>
      </c>
      <c r="P103" s="42">
        <f t="shared" si="13"/>
        <v>0</v>
      </c>
      <c r="Q103" s="42">
        <f t="shared" si="13"/>
        <v>0</v>
      </c>
      <c r="R103" s="42">
        <f t="shared" si="13"/>
        <v>0</v>
      </c>
      <c r="S103" s="42">
        <f t="shared" si="13"/>
        <v>0</v>
      </c>
      <c r="T103" s="42">
        <f t="shared" si="13"/>
        <v>0</v>
      </c>
      <c r="U103" s="42">
        <f t="shared" si="13"/>
        <v>0</v>
      </c>
      <c r="V103" s="42">
        <f t="shared" si="13"/>
        <v>0</v>
      </c>
      <c r="W103" s="42">
        <f t="shared" si="13"/>
        <v>0</v>
      </c>
      <c r="X103" s="42">
        <f t="shared" si="13"/>
        <v>0</v>
      </c>
      <c r="Y103" s="42">
        <f t="shared" si="13"/>
        <v>0</v>
      </c>
      <c r="Z103" s="42">
        <f t="shared" si="13"/>
        <v>0</v>
      </c>
      <c r="AA103" s="42">
        <f t="shared" si="13"/>
        <v>0</v>
      </c>
      <c r="AB103" s="42">
        <f t="shared" si="13"/>
        <v>0</v>
      </c>
      <c r="AC103" s="42">
        <f t="shared" si="7"/>
        <v>331841.32</v>
      </c>
      <c r="AD103" s="47"/>
      <c r="AE103" s="69"/>
      <c r="AF103" s="92">
        <f>SUM(AF104:AF105)</f>
        <v>190078.35</v>
      </c>
      <c r="AG103" s="82">
        <f t="shared" si="9"/>
        <v>57.27989208818239</v>
      </c>
    </row>
    <row r="104" spans="1:33" ht="13.5">
      <c r="A104" s="9"/>
      <c r="B104" s="57" t="s">
        <v>11</v>
      </c>
      <c r="C104" s="43">
        <v>250041.32</v>
      </c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3">
        <f t="shared" si="7"/>
        <v>250041.32</v>
      </c>
      <c r="AD104" s="34"/>
      <c r="AE104" s="69"/>
      <c r="AF104" s="94">
        <f>41185.37+20592.68+20592.69+20592.68+20592.68</f>
        <v>123556.1</v>
      </c>
      <c r="AG104" s="82">
        <f t="shared" si="9"/>
        <v>49.41427280899013</v>
      </c>
    </row>
    <row r="105" spans="1:33" ht="32.25" customHeight="1">
      <c r="A105" s="9"/>
      <c r="B105" s="57" t="s">
        <v>12</v>
      </c>
      <c r="C105" s="43">
        <v>81800</v>
      </c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3">
        <f t="shared" si="7"/>
        <v>81800</v>
      </c>
      <c r="AD105" s="34"/>
      <c r="AE105" s="69"/>
      <c r="AF105" s="94">
        <f>52000+14522.25</f>
        <v>66522.25</v>
      </c>
      <c r="AG105" s="82">
        <f t="shared" si="9"/>
        <v>81.32304400977995</v>
      </c>
    </row>
    <row r="106" spans="1:33" ht="13.5">
      <c r="A106" s="9" t="s">
        <v>124</v>
      </c>
      <c r="B106" s="56" t="s">
        <v>21</v>
      </c>
      <c r="C106" s="42">
        <f>AC106+AD106</f>
        <v>12406607.14</v>
      </c>
      <c r="D106" s="42">
        <f aca="true" t="shared" si="14" ref="D106:AB106">SUM(D107:D108)</f>
        <v>0</v>
      </c>
      <c r="E106" s="42">
        <f t="shared" si="14"/>
        <v>0</v>
      </c>
      <c r="F106" s="42">
        <f t="shared" si="14"/>
        <v>0</v>
      </c>
      <c r="G106" s="42">
        <f t="shared" si="14"/>
        <v>0</v>
      </c>
      <c r="H106" s="42">
        <f t="shared" si="14"/>
        <v>0</v>
      </c>
      <c r="I106" s="42">
        <f t="shared" si="14"/>
        <v>0</v>
      </c>
      <c r="J106" s="42">
        <f t="shared" si="14"/>
        <v>0</v>
      </c>
      <c r="K106" s="42">
        <f t="shared" si="14"/>
        <v>0</v>
      </c>
      <c r="L106" s="42">
        <f t="shared" si="14"/>
        <v>0</v>
      </c>
      <c r="M106" s="42">
        <f t="shared" si="14"/>
        <v>0</v>
      </c>
      <c r="N106" s="42">
        <f t="shared" si="14"/>
        <v>0</v>
      </c>
      <c r="O106" s="42">
        <f t="shared" si="14"/>
        <v>0</v>
      </c>
      <c r="P106" s="42">
        <f t="shared" si="14"/>
        <v>0</v>
      </c>
      <c r="Q106" s="42">
        <f t="shared" si="14"/>
        <v>0</v>
      </c>
      <c r="R106" s="42">
        <f t="shared" si="14"/>
        <v>0</v>
      </c>
      <c r="S106" s="42">
        <f t="shared" si="14"/>
        <v>0</v>
      </c>
      <c r="T106" s="42">
        <f t="shared" si="14"/>
        <v>0</v>
      </c>
      <c r="U106" s="42">
        <f t="shared" si="14"/>
        <v>0</v>
      </c>
      <c r="V106" s="42">
        <f t="shared" si="14"/>
        <v>0</v>
      </c>
      <c r="W106" s="42">
        <f t="shared" si="14"/>
        <v>0</v>
      </c>
      <c r="X106" s="42">
        <f t="shared" si="14"/>
        <v>0</v>
      </c>
      <c r="Y106" s="42">
        <f t="shared" si="14"/>
        <v>0</v>
      </c>
      <c r="Z106" s="42">
        <f t="shared" si="14"/>
        <v>0</v>
      </c>
      <c r="AA106" s="42">
        <f t="shared" si="14"/>
        <v>0</v>
      </c>
      <c r="AB106" s="42">
        <f t="shared" si="14"/>
        <v>0</v>
      </c>
      <c r="AC106" s="42">
        <f>AC107+AC108+AC109+AC110</f>
        <v>11706607.14</v>
      </c>
      <c r="AD106" s="42">
        <f>AD107+AD108+AD109+AD110</f>
        <v>700000</v>
      </c>
      <c r="AE106" s="42">
        <f>AE107+AE108+AE109+AE110</f>
        <v>700000</v>
      </c>
      <c r="AF106" s="92">
        <f>AF107+AF108+AF109+AF110</f>
        <v>5081411.04</v>
      </c>
      <c r="AG106" s="81">
        <f t="shared" si="9"/>
        <v>40.957297854762245</v>
      </c>
    </row>
    <row r="107" spans="1:33" ht="46.5" customHeight="1">
      <c r="A107" s="9"/>
      <c r="B107" s="57" t="s">
        <v>31</v>
      </c>
      <c r="C107" s="43">
        <f>8326507.14+1750000+1400000</f>
        <v>11476507.14</v>
      </c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3">
        <f t="shared" si="7"/>
        <v>11476507.14</v>
      </c>
      <c r="AD107" s="34"/>
      <c r="AE107" s="71"/>
      <c r="AF107" s="94">
        <f>1849776.67+35398.49+348676.62+34400+281219.17+131897.64+177702.86+131897.64+54600+34999.99+205692.41+140276.5+35000+8015.63+58500+12985.46+289924.86+140276.5+35347.98+7014.54+241242.11+137226.5+22699.93+336469.88+137226.5+35954.86+76888.3</f>
        <v>5001311.04</v>
      </c>
      <c r="AG107" s="82">
        <f t="shared" si="9"/>
        <v>43.57868625871826</v>
      </c>
    </row>
    <row r="108" spans="1:33" ht="42">
      <c r="A108" s="9"/>
      <c r="B108" s="57" t="s">
        <v>13</v>
      </c>
      <c r="C108" s="43">
        <v>150000</v>
      </c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3">
        <f>C108</f>
        <v>150000</v>
      </c>
      <c r="AD108" s="17"/>
      <c r="AE108" s="73"/>
      <c r="AF108" s="93"/>
      <c r="AG108" s="82">
        <f t="shared" si="9"/>
        <v>0</v>
      </c>
    </row>
    <row r="109" spans="1:33" ht="13.5">
      <c r="A109" s="9"/>
      <c r="B109" s="27" t="s">
        <v>115</v>
      </c>
      <c r="C109" s="43">
        <f>AD109</f>
        <v>700000</v>
      </c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3"/>
      <c r="AD109" s="33">
        <v>700000</v>
      </c>
      <c r="AE109" s="74">
        <f>AD109</f>
        <v>700000</v>
      </c>
      <c r="AF109" s="93"/>
      <c r="AG109" s="82">
        <f t="shared" si="9"/>
        <v>0</v>
      </c>
    </row>
    <row r="110" spans="1:33" ht="19.5" customHeight="1">
      <c r="A110" s="9"/>
      <c r="B110" s="57" t="s">
        <v>163</v>
      </c>
      <c r="C110" s="43">
        <f>AD110+AC110</f>
        <v>80100</v>
      </c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62">
        <v>80100</v>
      </c>
      <c r="AD110" s="33"/>
      <c r="AE110" s="74"/>
      <c r="AF110" s="94">
        <v>80100</v>
      </c>
      <c r="AG110" s="82">
        <f t="shared" si="9"/>
        <v>100</v>
      </c>
    </row>
    <row r="111" spans="1:33" ht="27.75">
      <c r="A111" s="9" t="s">
        <v>125</v>
      </c>
      <c r="B111" s="56" t="s">
        <v>47</v>
      </c>
      <c r="C111" s="42">
        <f>SUM(C112:C112)</f>
        <v>121704.97</v>
      </c>
      <c r="D111" s="42">
        <f aca="true" t="shared" si="15" ref="D111:AB111">SUM(D112:D112)</f>
        <v>0</v>
      </c>
      <c r="E111" s="42">
        <f t="shared" si="15"/>
        <v>0</v>
      </c>
      <c r="F111" s="42">
        <f t="shared" si="15"/>
        <v>0</v>
      </c>
      <c r="G111" s="42">
        <f t="shared" si="15"/>
        <v>0</v>
      </c>
      <c r="H111" s="42">
        <f t="shared" si="15"/>
        <v>0</v>
      </c>
      <c r="I111" s="42">
        <f t="shared" si="15"/>
        <v>0</v>
      </c>
      <c r="J111" s="42">
        <f t="shared" si="15"/>
        <v>0</v>
      </c>
      <c r="K111" s="42">
        <f t="shared" si="15"/>
        <v>0</v>
      </c>
      <c r="L111" s="42">
        <f t="shared" si="15"/>
        <v>0</v>
      </c>
      <c r="M111" s="42">
        <f t="shared" si="15"/>
        <v>0</v>
      </c>
      <c r="N111" s="42">
        <f t="shared" si="15"/>
        <v>0</v>
      </c>
      <c r="O111" s="42">
        <f t="shared" si="15"/>
        <v>0</v>
      </c>
      <c r="P111" s="42">
        <f t="shared" si="15"/>
        <v>0</v>
      </c>
      <c r="Q111" s="42">
        <f t="shared" si="15"/>
        <v>0</v>
      </c>
      <c r="R111" s="42">
        <f t="shared" si="15"/>
        <v>0</v>
      </c>
      <c r="S111" s="42">
        <f t="shared" si="15"/>
        <v>0</v>
      </c>
      <c r="T111" s="42">
        <f t="shared" si="15"/>
        <v>0</v>
      </c>
      <c r="U111" s="42">
        <f t="shared" si="15"/>
        <v>0</v>
      </c>
      <c r="V111" s="42">
        <f t="shared" si="15"/>
        <v>0</v>
      </c>
      <c r="W111" s="42">
        <f t="shared" si="15"/>
        <v>0</v>
      </c>
      <c r="X111" s="42">
        <f t="shared" si="15"/>
        <v>0</v>
      </c>
      <c r="Y111" s="42">
        <f t="shared" si="15"/>
        <v>0</v>
      </c>
      <c r="Z111" s="42">
        <f t="shared" si="15"/>
        <v>0</v>
      </c>
      <c r="AA111" s="42">
        <f t="shared" si="15"/>
        <v>0</v>
      </c>
      <c r="AB111" s="42">
        <f t="shared" si="15"/>
        <v>0</v>
      </c>
      <c r="AC111" s="42">
        <f t="shared" si="7"/>
        <v>121704.97</v>
      </c>
      <c r="AD111" s="16"/>
      <c r="AE111" s="68"/>
      <c r="AF111" s="92">
        <f>SUM(AF112:AF112)</f>
        <v>99616.15</v>
      </c>
      <c r="AG111" s="81">
        <f t="shared" si="9"/>
        <v>81.85051933376262</v>
      </c>
    </row>
    <row r="112" spans="1:33" ht="23.25" customHeight="1">
      <c r="A112" s="9"/>
      <c r="B112" s="57" t="s">
        <v>48</v>
      </c>
      <c r="C112" s="43">
        <f>102000+19704.97</f>
        <v>121704.97</v>
      </c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3">
        <f t="shared" si="7"/>
        <v>121704.97</v>
      </c>
      <c r="AD112" s="17"/>
      <c r="AE112" s="68"/>
      <c r="AF112" s="93">
        <v>99616.15</v>
      </c>
      <c r="AG112" s="80">
        <f t="shared" si="9"/>
        <v>81.85051933376262</v>
      </c>
    </row>
    <row r="113" spans="1:33" ht="13.5">
      <c r="A113" s="9" t="s">
        <v>126</v>
      </c>
      <c r="B113" s="56" t="s">
        <v>1</v>
      </c>
      <c r="C113" s="42">
        <f>SUM(C114:C115)</f>
        <v>851133.72</v>
      </c>
      <c r="D113" s="42">
        <f aca="true" t="shared" si="16" ref="D113:AB113">SUM(D114:D115)</f>
        <v>0</v>
      </c>
      <c r="E113" s="42">
        <f t="shared" si="16"/>
        <v>0</v>
      </c>
      <c r="F113" s="42">
        <f t="shared" si="16"/>
        <v>0</v>
      </c>
      <c r="G113" s="42">
        <f t="shared" si="16"/>
        <v>0</v>
      </c>
      <c r="H113" s="42">
        <f t="shared" si="16"/>
        <v>0</v>
      </c>
      <c r="I113" s="42">
        <f t="shared" si="16"/>
        <v>0</v>
      </c>
      <c r="J113" s="42">
        <f t="shared" si="16"/>
        <v>0</v>
      </c>
      <c r="K113" s="42">
        <f t="shared" si="16"/>
        <v>0</v>
      </c>
      <c r="L113" s="42">
        <f t="shared" si="16"/>
        <v>0</v>
      </c>
      <c r="M113" s="42">
        <f t="shared" si="16"/>
        <v>0</v>
      </c>
      <c r="N113" s="42">
        <f t="shared" si="16"/>
        <v>0</v>
      </c>
      <c r="O113" s="42">
        <f t="shared" si="16"/>
        <v>0</v>
      </c>
      <c r="P113" s="42">
        <f t="shared" si="16"/>
        <v>0</v>
      </c>
      <c r="Q113" s="42">
        <f t="shared" si="16"/>
        <v>0</v>
      </c>
      <c r="R113" s="42">
        <f t="shared" si="16"/>
        <v>0</v>
      </c>
      <c r="S113" s="42">
        <f t="shared" si="16"/>
        <v>0</v>
      </c>
      <c r="T113" s="42">
        <f t="shared" si="16"/>
        <v>0</v>
      </c>
      <c r="U113" s="42">
        <f t="shared" si="16"/>
        <v>0</v>
      </c>
      <c r="V113" s="42">
        <f t="shared" si="16"/>
        <v>0</v>
      </c>
      <c r="W113" s="42">
        <f t="shared" si="16"/>
        <v>0</v>
      </c>
      <c r="X113" s="42">
        <f t="shared" si="16"/>
        <v>0</v>
      </c>
      <c r="Y113" s="42">
        <f t="shared" si="16"/>
        <v>0</v>
      </c>
      <c r="Z113" s="42">
        <f t="shared" si="16"/>
        <v>0</v>
      </c>
      <c r="AA113" s="42">
        <f t="shared" si="16"/>
        <v>0</v>
      </c>
      <c r="AB113" s="42">
        <f t="shared" si="16"/>
        <v>0</v>
      </c>
      <c r="AC113" s="42">
        <f t="shared" si="7"/>
        <v>851133.72</v>
      </c>
      <c r="AD113" s="16"/>
      <c r="AE113" s="68"/>
      <c r="AF113" s="92">
        <f>SUM(AF114:AF115)</f>
        <v>573977.03</v>
      </c>
      <c r="AG113" s="81">
        <f t="shared" si="9"/>
        <v>67.43676305058153</v>
      </c>
    </row>
    <row r="114" spans="1:33" ht="13.5">
      <c r="A114" s="9"/>
      <c r="B114" s="57" t="s">
        <v>61</v>
      </c>
      <c r="C114" s="43">
        <v>751133.72</v>
      </c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3">
        <f t="shared" si="7"/>
        <v>751133.72</v>
      </c>
      <c r="AD114" s="17"/>
      <c r="AE114" s="68"/>
      <c r="AF114" s="93">
        <f>489369.46+67184.23</f>
        <v>556553.6900000001</v>
      </c>
      <c r="AG114" s="82">
        <f t="shared" si="9"/>
        <v>74.09515445532124</v>
      </c>
    </row>
    <row r="115" spans="1:33" ht="13.5">
      <c r="A115" s="9"/>
      <c r="B115" s="57" t="s">
        <v>32</v>
      </c>
      <c r="C115" s="43">
        <v>100000</v>
      </c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3">
        <f t="shared" si="7"/>
        <v>100000</v>
      </c>
      <c r="AD115" s="17"/>
      <c r="AE115" s="68"/>
      <c r="AF115" s="93">
        <f>6764.94+4155.7+1905.74+2325.52+2271.44</f>
        <v>17423.34</v>
      </c>
      <c r="AG115" s="82">
        <f t="shared" si="9"/>
        <v>17.42334</v>
      </c>
    </row>
    <row r="116" spans="1:33" ht="13.5">
      <c r="A116" s="9" t="s">
        <v>127</v>
      </c>
      <c r="B116" s="56" t="s">
        <v>33</v>
      </c>
      <c r="C116" s="42">
        <v>188376.21</v>
      </c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2">
        <f t="shared" si="7"/>
        <v>188376.21</v>
      </c>
      <c r="AD116" s="17"/>
      <c r="AE116" s="68"/>
      <c r="AF116" s="92">
        <v>40000</v>
      </c>
      <c r="AG116" s="82">
        <f t="shared" si="9"/>
        <v>21.2341038180989</v>
      </c>
    </row>
    <row r="117" spans="1:33" ht="13.5">
      <c r="A117" s="9" t="s">
        <v>128</v>
      </c>
      <c r="B117" s="56" t="s">
        <v>170</v>
      </c>
      <c r="C117" s="42">
        <f>SUM(C118:C119)</f>
        <v>97441</v>
      </c>
      <c r="D117" s="42">
        <f aca="true" t="shared" si="17" ref="D117:AB117">SUM(D118:D119)</f>
        <v>0</v>
      </c>
      <c r="E117" s="42">
        <f t="shared" si="17"/>
        <v>0</v>
      </c>
      <c r="F117" s="42">
        <f t="shared" si="17"/>
        <v>0</v>
      </c>
      <c r="G117" s="42">
        <f t="shared" si="17"/>
        <v>0</v>
      </c>
      <c r="H117" s="42">
        <f t="shared" si="17"/>
        <v>0</v>
      </c>
      <c r="I117" s="42">
        <f t="shared" si="17"/>
        <v>0</v>
      </c>
      <c r="J117" s="42">
        <f t="shared" si="17"/>
        <v>0</v>
      </c>
      <c r="K117" s="42">
        <f t="shared" si="17"/>
        <v>0</v>
      </c>
      <c r="L117" s="42">
        <f t="shared" si="17"/>
        <v>0</v>
      </c>
      <c r="M117" s="42">
        <f t="shared" si="17"/>
        <v>0</v>
      </c>
      <c r="N117" s="42">
        <f t="shared" si="17"/>
        <v>0</v>
      </c>
      <c r="O117" s="42">
        <f t="shared" si="17"/>
        <v>0</v>
      </c>
      <c r="P117" s="42">
        <f t="shared" si="17"/>
        <v>0</v>
      </c>
      <c r="Q117" s="42">
        <f t="shared" si="17"/>
        <v>0</v>
      </c>
      <c r="R117" s="42">
        <f t="shared" si="17"/>
        <v>0</v>
      </c>
      <c r="S117" s="42">
        <f t="shared" si="17"/>
        <v>0</v>
      </c>
      <c r="T117" s="42">
        <f t="shared" si="17"/>
        <v>0</v>
      </c>
      <c r="U117" s="42">
        <f t="shared" si="17"/>
        <v>0</v>
      </c>
      <c r="V117" s="42">
        <f t="shared" si="17"/>
        <v>0</v>
      </c>
      <c r="W117" s="42">
        <f t="shared" si="17"/>
        <v>0</v>
      </c>
      <c r="X117" s="42">
        <f t="shared" si="17"/>
        <v>0</v>
      </c>
      <c r="Y117" s="42">
        <f t="shared" si="17"/>
        <v>0</v>
      </c>
      <c r="Z117" s="42">
        <f t="shared" si="17"/>
        <v>0</v>
      </c>
      <c r="AA117" s="42">
        <f t="shared" si="17"/>
        <v>0</v>
      </c>
      <c r="AB117" s="42">
        <f t="shared" si="17"/>
        <v>0</v>
      </c>
      <c r="AC117" s="42">
        <f t="shared" si="7"/>
        <v>97441</v>
      </c>
      <c r="AD117" s="49"/>
      <c r="AE117" s="68"/>
      <c r="AF117" s="92">
        <f>SUM(AF118:AF119)</f>
        <v>44962.03</v>
      </c>
      <c r="AG117" s="81">
        <f t="shared" si="9"/>
        <v>46.14282488890713</v>
      </c>
    </row>
    <row r="118" spans="1:33" ht="13.5">
      <c r="A118" s="9"/>
      <c r="B118" s="57" t="s">
        <v>34</v>
      </c>
      <c r="C118" s="43">
        <v>93250</v>
      </c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3">
        <f t="shared" si="7"/>
        <v>93250</v>
      </c>
      <c r="AD118" s="17"/>
      <c r="AE118" s="68"/>
      <c r="AF118" s="93">
        <f>27053.44-4752.8+21602.9</f>
        <v>43903.54</v>
      </c>
      <c r="AG118" s="82">
        <f t="shared" si="9"/>
        <v>47.08154423592493</v>
      </c>
    </row>
    <row r="119" spans="1:33" ht="13.5">
      <c r="A119" s="9"/>
      <c r="B119" s="57" t="s">
        <v>62</v>
      </c>
      <c r="C119" s="43">
        <v>4191</v>
      </c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3">
        <f t="shared" si="7"/>
        <v>4191</v>
      </c>
      <c r="AD119" s="17"/>
      <c r="AE119" s="68"/>
      <c r="AF119" s="93">
        <f>400.51+657.98</f>
        <v>1058.49</v>
      </c>
      <c r="AG119" s="82">
        <f t="shared" si="9"/>
        <v>25.256263421617753</v>
      </c>
    </row>
    <row r="120" spans="1:33" ht="13.5">
      <c r="A120" s="9" t="s">
        <v>129</v>
      </c>
      <c r="B120" s="56" t="s">
        <v>169</v>
      </c>
      <c r="C120" s="42">
        <f>SUM(C121:C122)</f>
        <v>31520</v>
      </c>
      <c r="D120" s="42">
        <f aca="true" t="shared" si="18" ref="D120:AB120">SUM(D121:D122)</f>
        <v>0</v>
      </c>
      <c r="E120" s="42">
        <f t="shared" si="18"/>
        <v>0</v>
      </c>
      <c r="F120" s="42">
        <f t="shared" si="18"/>
        <v>0</v>
      </c>
      <c r="G120" s="42">
        <f t="shared" si="18"/>
        <v>0</v>
      </c>
      <c r="H120" s="42">
        <f t="shared" si="18"/>
        <v>0</v>
      </c>
      <c r="I120" s="42">
        <f t="shared" si="18"/>
        <v>0</v>
      </c>
      <c r="J120" s="42">
        <f t="shared" si="18"/>
        <v>0</v>
      </c>
      <c r="K120" s="42">
        <f t="shared" si="18"/>
        <v>0</v>
      </c>
      <c r="L120" s="42">
        <f t="shared" si="18"/>
        <v>0</v>
      </c>
      <c r="M120" s="42">
        <f t="shared" si="18"/>
        <v>0</v>
      </c>
      <c r="N120" s="42">
        <f t="shared" si="18"/>
        <v>0</v>
      </c>
      <c r="O120" s="42">
        <f t="shared" si="18"/>
        <v>0</v>
      </c>
      <c r="P120" s="42">
        <f t="shared" si="18"/>
        <v>0</v>
      </c>
      <c r="Q120" s="42">
        <f t="shared" si="18"/>
        <v>0</v>
      </c>
      <c r="R120" s="42">
        <f t="shared" si="18"/>
        <v>0</v>
      </c>
      <c r="S120" s="42">
        <f t="shared" si="18"/>
        <v>0</v>
      </c>
      <c r="T120" s="42">
        <f t="shared" si="18"/>
        <v>0</v>
      </c>
      <c r="U120" s="42">
        <f t="shared" si="18"/>
        <v>0</v>
      </c>
      <c r="V120" s="42">
        <f t="shared" si="18"/>
        <v>0</v>
      </c>
      <c r="W120" s="42">
        <f t="shared" si="18"/>
        <v>0</v>
      </c>
      <c r="X120" s="42">
        <f t="shared" si="18"/>
        <v>0</v>
      </c>
      <c r="Y120" s="42">
        <f t="shared" si="18"/>
        <v>0</v>
      </c>
      <c r="Z120" s="42">
        <f t="shared" si="18"/>
        <v>0</v>
      </c>
      <c r="AA120" s="42">
        <f t="shared" si="18"/>
        <v>0</v>
      </c>
      <c r="AB120" s="42">
        <f t="shared" si="18"/>
        <v>0</v>
      </c>
      <c r="AC120" s="42">
        <f t="shared" si="7"/>
        <v>31520</v>
      </c>
      <c r="AD120" s="17"/>
      <c r="AE120" s="68"/>
      <c r="AF120" s="92">
        <f>SUM(AF121:AF122)</f>
        <v>0</v>
      </c>
      <c r="AG120" s="81">
        <f t="shared" si="9"/>
        <v>0</v>
      </c>
    </row>
    <row r="121" spans="1:33" ht="13.5">
      <c r="A121" s="9"/>
      <c r="B121" s="57" t="s">
        <v>35</v>
      </c>
      <c r="C121" s="43">
        <v>5331.2</v>
      </c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3">
        <f t="shared" si="7"/>
        <v>5331.2</v>
      </c>
      <c r="AD121" s="17"/>
      <c r="AE121" s="68"/>
      <c r="AF121" s="93"/>
      <c r="AG121" s="82">
        <f t="shared" si="9"/>
        <v>0</v>
      </c>
    </row>
    <row r="122" spans="1:33" ht="13.5">
      <c r="A122" s="9"/>
      <c r="B122" s="57" t="s">
        <v>63</v>
      </c>
      <c r="C122" s="43">
        <v>26188.8</v>
      </c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3">
        <f t="shared" si="7"/>
        <v>26188.8</v>
      </c>
      <c r="AD122" s="17"/>
      <c r="AE122" s="68"/>
      <c r="AF122" s="93"/>
      <c r="AG122" s="82">
        <f t="shared" si="9"/>
        <v>0</v>
      </c>
    </row>
    <row r="123" spans="1:33" ht="13.5">
      <c r="A123" s="9" t="s">
        <v>138</v>
      </c>
      <c r="B123" s="56" t="s">
        <v>139</v>
      </c>
      <c r="C123" s="42">
        <v>1500000</v>
      </c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42">
        <f t="shared" si="7"/>
        <v>1500000</v>
      </c>
      <c r="AD123" s="17"/>
      <c r="AE123" s="68"/>
      <c r="AF123" s="95"/>
      <c r="AG123" s="80">
        <f t="shared" si="9"/>
        <v>0</v>
      </c>
    </row>
    <row r="124" spans="1:33" s="3" customFormat="1" ht="23.25" customHeight="1">
      <c r="A124" s="23" t="s">
        <v>112</v>
      </c>
      <c r="B124" s="60" t="s">
        <v>53</v>
      </c>
      <c r="C124" s="41">
        <f>C125</f>
        <v>32849</v>
      </c>
      <c r="D124" s="41">
        <f aca="true" t="shared" si="19" ref="D124:AB124">D125</f>
        <v>0</v>
      </c>
      <c r="E124" s="41">
        <f t="shared" si="19"/>
        <v>0</v>
      </c>
      <c r="F124" s="41">
        <f t="shared" si="19"/>
        <v>0</v>
      </c>
      <c r="G124" s="41">
        <f t="shared" si="19"/>
        <v>0</v>
      </c>
      <c r="H124" s="41">
        <f t="shared" si="19"/>
        <v>0</v>
      </c>
      <c r="I124" s="41">
        <f t="shared" si="19"/>
        <v>0</v>
      </c>
      <c r="J124" s="41">
        <f t="shared" si="19"/>
        <v>0</v>
      </c>
      <c r="K124" s="41">
        <f t="shared" si="19"/>
        <v>0</v>
      </c>
      <c r="L124" s="41">
        <f t="shared" si="19"/>
        <v>0</v>
      </c>
      <c r="M124" s="41">
        <f t="shared" si="19"/>
        <v>0</v>
      </c>
      <c r="N124" s="41">
        <f t="shared" si="19"/>
        <v>0</v>
      </c>
      <c r="O124" s="41">
        <f t="shared" si="19"/>
        <v>0</v>
      </c>
      <c r="P124" s="41">
        <f t="shared" si="19"/>
        <v>0</v>
      </c>
      <c r="Q124" s="41">
        <f t="shared" si="19"/>
        <v>0</v>
      </c>
      <c r="R124" s="41">
        <f t="shared" si="19"/>
        <v>0</v>
      </c>
      <c r="S124" s="41">
        <f t="shared" si="19"/>
        <v>0</v>
      </c>
      <c r="T124" s="41">
        <f t="shared" si="19"/>
        <v>0</v>
      </c>
      <c r="U124" s="41">
        <f t="shared" si="19"/>
        <v>0</v>
      </c>
      <c r="V124" s="41">
        <f t="shared" si="19"/>
        <v>0</v>
      </c>
      <c r="W124" s="41">
        <f t="shared" si="19"/>
        <v>0</v>
      </c>
      <c r="X124" s="41">
        <f t="shared" si="19"/>
        <v>0</v>
      </c>
      <c r="Y124" s="41">
        <f t="shared" si="19"/>
        <v>0</v>
      </c>
      <c r="Z124" s="41">
        <f t="shared" si="19"/>
        <v>0</v>
      </c>
      <c r="AA124" s="41">
        <f t="shared" si="19"/>
        <v>0</v>
      </c>
      <c r="AB124" s="41">
        <f t="shared" si="19"/>
        <v>0</v>
      </c>
      <c r="AC124" s="41">
        <f>AC125</f>
        <v>32849</v>
      </c>
      <c r="AD124" s="18"/>
      <c r="AE124" s="75"/>
      <c r="AF124" s="96">
        <f>BG124</f>
        <v>0</v>
      </c>
      <c r="AG124" s="78">
        <f t="shared" si="9"/>
        <v>0</v>
      </c>
    </row>
    <row r="125" spans="1:33" ht="27.75">
      <c r="A125" s="9" t="s">
        <v>130</v>
      </c>
      <c r="B125" s="57" t="s">
        <v>25</v>
      </c>
      <c r="C125" s="43">
        <v>32849</v>
      </c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62">
        <f>C125</f>
        <v>32849</v>
      </c>
      <c r="AD125" s="17"/>
      <c r="AE125" s="68"/>
      <c r="AF125" s="93"/>
      <c r="AG125" s="81">
        <f t="shared" si="9"/>
        <v>0</v>
      </c>
    </row>
    <row r="126" spans="1:33" s="3" customFormat="1" ht="15">
      <c r="A126" s="23" t="s">
        <v>113</v>
      </c>
      <c r="B126" s="60" t="s">
        <v>29</v>
      </c>
      <c r="C126" s="41">
        <f>AC126+AE126</f>
        <v>9832234.5</v>
      </c>
      <c r="D126" s="41">
        <f aca="true" t="shared" si="20" ref="D126:AB126">SUM(D128:D130)</f>
        <v>0</v>
      </c>
      <c r="E126" s="41">
        <f t="shared" si="20"/>
        <v>0</v>
      </c>
      <c r="F126" s="41">
        <f t="shared" si="20"/>
        <v>0</v>
      </c>
      <c r="G126" s="41">
        <f t="shared" si="20"/>
        <v>0</v>
      </c>
      <c r="H126" s="41">
        <f t="shared" si="20"/>
        <v>0</v>
      </c>
      <c r="I126" s="41">
        <f t="shared" si="20"/>
        <v>0</v>
      </c>
      <c r="J126" s="41">
        <f t="shared" si="20"/>
        <v>0</v>
      </c>
      <c r="K126" s="41">
        <f t="shared" si="20"/>
        <v>0</v>
      </c>
      <c r="L126" s="41">
        <f t="shared" si="20"/>
        <v>0</v>
      </c>
      <c r="M126" s="41">
        <f t="shared" si="20"/>
        <v>0</v>
      </c>
      <c r="N126" s="41">
        <f t="shared" si="20"/>
        <v>0</v>
      </c>
      <c r="O126" s="41">
        <f t="shared" si="20"/>
        <v>0</v>
      </c>
      <c r="P126" s="41">
        <f t="shared" si="20"/>
        <v>0</v>
      </c>
      <c r="Q126" s="41">
        <f t="shared" si="20"/>
        <v>0</v>
      </c>
      <c r="R126" s="41">
        <f t="shared" si="20"/>
        <v>0</v>
      </c>
      <c r="S126" s="41">
        <f t="shared" si="20"/>
        <v>0</v>
      </c>
      <c r="T126" s="41">
        <f t="shared" si="20"/>
        <v>0</v>
      </c>
      <c r="U126" s="41">
        <f t="shared" si="20"/>
        <v>0</v>
      </c>
      <c r="V126" s="41">
        <f t="shared" si="20"/>
        <v>0</v>
      </c>
      <c r="W126" s="41">
        <f t="shared" si="20"/>
        <v>0</v>
      </c>
      <c r="X126" s="41">
        <f t="shared" si="20"/>
        <v>0</v>
      </c>
      <c r="Y126" s="41">
        <f t="shared" si="20"/>
        <v>0</v>
      </c>
      <c r="Z126" s="41">
        <f t="shared" si="20"/>
        <v>0</v>
      </c>
      <c r="AA126" s="41">
        <f t="shared" si="20"/>
        <v>0</v>
      </c>
      <c r="AB126" s="41">
        <f t="shared" si="20"/>
        <v>0</v>
      </c>
      <c r="AC126" s="41">
        <f>AC128+AC129+AC130</f>
        <v>832234.5</v>
      </c>
      <c r="AD126" s="35">
        <f>AD130</f>
        <v>9000000</v>
      </c>
      <c r="AE126" s="67">
        <f>AD126</f>
        <v>9000000</v>
      </c>
      <c r="AF126" s="96">
        <f>AF127+AF130</f>
        <v>93497</v>
      </c>
      <c r="AG126" s="78">
        <f t="shared" si="9"/>
        <v>0.9509232107920127</v>
      </c>
    </row>
    <row r="127" spans="1:33" ht="21" customHeight="1">
      <c r="A127" s="9" t="s">
        <v>116</v>
      </c>
      <c r="B127" s="56" t="s">
        <v>55</v>
      </c>
      <c r="C127" s="42">
        <f>C128+C129</f>
        <v>832234.5</v>
      </c>
      <c r="D127" s="42">
        <f aca="true" t="shared" si="21" ref="D127:AB127">D128+D130</f>
        <v>0</v>
      </c>
      <c r="E127" s="42">
        <f t="shared" si="21"/>
        <v>0</v>
      </c>
      <c r="F127" s="42">
        <f t="shared" si="21"/>
        <v>0</v>
      </c>
      <c r="G127" s="42">
        <f t="shared" si="21"/>
        <v>0</v>
      </c>
      <c r="H127" s="42">
        <f t="shared" si="21"/>
        <v>0</v>
      </c>
      <c r="I127" s="42">
        <f t="shared" si="21"/>
        <v>0</v>
      </c>
      <c r="J127" s="42">
        <f t="shared" si="21"/>
        <v>0</v>
      </c>
      <c r="K127" s="42">
        <f t="shared" si="21"/>
        <v>0</v>
      </c>
      <c r="L127" s="42">
        <f t="shared" si="21"/>
        <v>0</v>
      </c>
      <c r="M127" s="42">
        <f t="shared" si="21"/>
        <v>0</v>
      </c>
      <c r="N127" s="42">
        <f t="shared" si="21"/>
        <v>0</v>
      </c>
      <c r="O127" s="42">
        <f t="shared" si="21"/>
        <v>0</v>
      </c>
      <c r="P127" s="42">
        <f t="shared" si="21"/>
        <v>0</v>
      </c>
      <c r="Q127" s="42">
        <f t="shared" si="21"/>
        <v>0</v>
      </c>
      <c r="R127" s="42">
        <f t="shared" si="21"/>
        <v>0</v>
      </c>
      <c r="S127" s="42">
        <f t="shared" si="21"/>
        <v>0</v>
      </c>
      <c r="T127" s="42">
        <f t="shared" si="21"/>
        <v>0</v>
      </c>
      <c r="U127" s="42">
        <f t="shared" si="21"/>
        <v>0</v>
      </c>
      <c r="V127" s="42">
        <f t="shared" si="21"/>
        <v>0</v>
      </c>
      <c r="W127" s="42">
        <f t="shared" si="21"/>
        <v>0</v>
      </c>
      <c r="X127" s="42">
        <f t="shared" si="21"/>
        <v>0</v>
      </c>
      <c r="Y127" s="42">
        <f t="shared" si="21"/>
        <v>0</v>
      </c>
      <c r="Z127" s="42">
        <f t="shared" si="21"/>
        <v>0</v>
      </c>
      <c r="AA127" s="42">
        <f t="shared" si="21"/>
        <v>0</v>
      </c>
      <c r="AB127" s="42">
        <f t="shared" si="21"/>
        <v>0</v>
      </c>
      <c r="AC127" s="42">
        <f>C127</f>
        <v>832234.5</v>
      </c>
      <c r="AD127" s="63"/>
      <c r="AE127" s="76"/>
      <c r="AF127" s="92">
        <f>AF128+AF129</f>
        <v>93497</v>
      </c>
      <c r="AG127" s="79">
        <f t="shared" si="9"/>
        <v>11.234453750715694</v>
      </c>
    </row>
    <row r="128" spans="1:33" ht="42">
      <c r="A128" s="9"/>
      <c r="B128" s="57" t="s">
        <v>14</v>
      </c>
      <c r="C128" s="43">
        <v>823779.5</v>
      </c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3">
        <f>C128</f>
        <v>823779.5</v>
      </c>
      <c r="AD128" s="64"/>
      <c r="AE128" s="77"/>
      <c r="AF128" s="94">
        <f>24211.33+10124.25+10765.51+13157.92+11695.74+9191.49+14350.76</f>
        <v>93497</v>
      </c>
      <c r="AG128" s="80">
        <f t="shared" si="9"/>
        <v>11.349760463813436</v>
      </c>
    </row>
    <row r="129" spans="1:33" ht="32.25" customHeight="1">
      <c r="A129" s="9"/>
      <c r="B129" s="57" t="s">
        <v>15</v>
      </c>
      <c r="C129" s="43">
        <v>8455</v>
      </c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3">
        <f>C129</f>
        <v>8455</v>
      </c>
      <c r="AD129" s="64"/>
      <c r="AE129" s="77"/>
      <c r="AF129" s="93"/>
      <c r="AG129" s="80">
        <f t="shared" si="9"/>
        <v>0</v>
      </c>
    </row>
    <row r="130" spans="1:33" ht="93" customHeight="1">
      <c r="A130" s="9" t="s">
        <v>117</v>
      </c>
      <c r="B130" s="61" t="s">
        <v>173</v>
      </c>
      <c r="C130" s="42">
        <f>AD130</f>
        <v>9000000</v>
      </c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42"/>
      <c r="AD130" s="36">
        <f>9000000</f>
        <v>9000000</v>
      </c>
      <c r="AE130" s="70">
        <f>AD130</f>
        <v>9000000</v>
      </c>
      <c r="AF130" s="97"/>
      <c r="AG130" s="81">
        <f t="shared" si="9"/>
        <v>0</v>
      </c>
    </row>
    <row r="131" spans="1:33" ht="24" customHeight="1">
      <c r="A131" s="124" t="s">
        <v>49</v>
      </c>
      <c r="B131" s="125"/>
      <c r="C131" s="51">
        <f>AC131+AE131</f>
        <v>85861533.85</v>
      </c>
      <c r="D131" s="51">
        <f aca="true" t="shared" si="22" ref="D131:AB131">D124+D70+D126</f>
        <v>0</v>
      </c>
      <c r="E131" s="51">
        <f t="shared" si="22"/>
        <v>0</v>
      </c>
      <c r="F131" s="51">
        <f t="shared" si="22"/>
        <v>0</v>
      </c>
      <c r="G131" s="51">
        <f t="shared" si="22"/>
        <v>0</v>
      </c>
      <c r="H131" s="51">
        <f t="shared" si="22"/>
        <v>0</v>
      </c>
      <c r="I131" s="51">
        <f t="shared" si="22"/>
        <v>0</v>
      </c>
      <c r="J131" s="51">
        <f t="shared" si="22"/>
        <v>0</v>
      </c>
      <c r="K131" s="51">
        <f t="shared" si="22"/>
        <v>0</v>
      </c>
      <c r="L131" s="51">
        <f t="shared" si="22"/>
        <v>0</v>
      </c>
      <c r="M131" s="51">
        <f t="shared" si="22"/>
        <v>0</v>
      </c>
      <c r="N131" s="51">
        <f t="shared" si="22"/>
        <v>0</v>
      </c>
      <c r="O131" s="51">
        <f t="shared" si="22"/>
        <v>0</v>
      </c>
      <c r="P131" s="51">
        <f t="shared" si="22"/>
        <v>0</v>
      </c>
      <c r="Q131" s="51">
        <f t="shared" si="22"/>
        <v>0</v>
      </c>
      <c r="R131" s="51">
        <f t="shared" si="22"/>
        <v>0</v>
      </c>
      <c r="S131" s="51">
        <f t="shared" si="22"/>
        <v>0</v>
      </c>
      <c r="T131" s="51">
        <f t="shared" si="22"/>
        <v>0</v>
      </c>
      <c r="U131" s="51">
        <f t="shared" si="22"/>
        <v>0</v>
      </c>
      <c r="V131" s="51">
        <f t="shared" si="22"/>
        <v>0</v>
      </c>
      <c r="W131" s="51">
        <f t="shared" si="22"/>
        <v>0</v>
      </c>
      <c r="X131" s="51">
        <f t="shared" si="22"/>
        <v>0</v>
      </c>
      <c r="Y131" s="51">
        <f t="shared" si="22"/>
        <v>0</v>
      </c>
      <c r="Z131" s="51">
        <f t="shared" si="22"/>
        <v>0</v>
      </c>
      <c r="AA131" s="51">
        <f t="shared" si="22"/>
        <v>0</v>
      </c>
      <c r="AB131" s="51">
        <f t="shared" si="22"/>
        <v>0</v>
      </c>
      <c r="AC131" s="51">
        <f>AC126+AC124+AC70</f>
        <v>47026586</v>
      </c>
      <c r="AD131" s="35">
        <f>AE131</f>
        <v>38834947.849999994</v>
      </c>
      <c r="AE131" s="67">
        <f>AE6+AE66+AE68+AE70+AE124+AE126</f>
        <v>38834947.849999994</v>
      </c>
      <c r="AF131" s="98">
        <f>AF126+AF124+AF70+AF68+AF66+AF6</f>
        <v>25278536.57</v>
      </c>
      <c r="AG131" s="78">
        <f t="shared" si="9"/>
        <v>29.441049369280513</v>
      </c>
    </row>
    <row r="132" spans="15:18" ht="12.75">
      <c r="O132" s="8"/>
      <c r="Q132" s="11"/>
      <c r="R132" s="11"/>
    </row>
    <row r="133" spans="1:29" s="4" customFormat="1" ht="18">
      <c r="A133" s="24"/>
      <c r="C133" s="12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13"/>
      <c r="P133" s="5"/>
      <c r="Q133" s="14"/>
      <c r="R133" s="14"/>
      <c r="S133" s="14"/>
      <c r="T133" s="14"/>
      <c r="U133" s="14"/>
      <c r="V133" s="14"/>
      <c r="W133" s="14"/>
      <c r="X133" s="5"/>
      <c r="Y133" s="5"/>
      <c r="Z133" s="5"/>
      <c r="AA133" s="5"/>
      <c r="AB133" s="5"/>
      <c r="AC133" s="5"/>
    </row>
    <row r="134" spans="15:23" ht="12.75">
      <c r="O134" s="8"/>
      <c r="Q134" s="10"/>
      <c r="R134" s="10"/>
      <c r="S134" s="10"/>
      <c r="T134" s="10"/>
      <c r="U134" s="10"/>
      <c r="V134" s="10"/>
      <c r="W134" s="10"/>
    </row>
    <row r="135" spans="1:31" ht="17.25">
      <c r="A135" s="123"/>
      <c r="B135" s="123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13"/>
      <c r="P135" s="5"/>
      <c r="Q135" s="14"/>
      <c r="R135" s="14"/>
      <c r="S135" s="14"/>
      <c r="T135" s="14"/>
      <c r="U135" s="14"/>
      <c r="V135" s="14"/>
      <c r="W135" s="14"/>
      <c r="X135" s="5"/>
      <c r="Y135" s="5"/>
      <c r="Z135" s="5"/>
      <c r="AA135" s="5"/>
      <c r="AB135" s="5"/>
      <c r="AC135" s="5"/>
      <c r="AE135" s="12"/>
    </row>
    <row r="136" ht="12.75">
      <c r="AD136" s="8"/>
    </row>
  </sheetData>
  <sheetProtection/>
  <mergeCells count="10">
    <mergeCell ref="AG4:AG5"/>
    <mergeCell ref="AF4:AF5"/>
    <mergeCell ref="A135:B135"/>
    <mergeCell ref="A131:B131"/>
    <mergeCell ref="A2:AE2"/>
    <mergeCell ref="A4:A5"/>
    <mergeCell ref="B4:B5"/>
    <mergeCell ref="C4:C5"/>
    <mergeCell ref="AC4:AC5"/>
    <mergeCell ref="AD4:AD5"/>
  </mergeCells>
  <printOptions/>
  <pageMargins left="0.24" right="0.3" top="0.5" bottom="0.7480314960629921" header="0.32" footer="0.31496062992125984"/>
  <pageSetup fitToHeight="13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2018-07-06T06:16:39Z</cp:lastPrinted>
  <dcterms:created xsi:type="dcterms:W3CDTF">2014-01-17T10:52:16Z</dcterms:created>
  <dcterms:modified xsi:type="dcterms:W3CDTF">2018-07-10T09:08:35Z</dcterms:modified>
  <cp:category/>
  <cp:version/>
  <cp:contentType/>
  <cp:contentStatus/>
</cp:coreProperties>
</file>